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5" yWindow="-105" windowWidth="19425" windowHeight="10560" tabRatio="812"/>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state="hidden" r:id="rId11"/>
    <sheet name="11.F&amp;V Crop Production details" sheetId="83" r:id="rId12"/>
    <sheet name="12.Facility 1 - Trading" sheetId="55" state="hidden" r:id="rId13"/>
    <sheet name="13.Facility 2 Grain Processing" sheetId="72" state="hidden" r:id="rId14"/>
    <sheet name="14. Facility 3 Warehouse" sheetId="42" state="hidden" r:id="rId15"/>
    <sheet name="15. Facility 4 Custom Hiring" sheetId="48" state="hidden" r:id="rId16"/>
    <sheet name="16.Facility 5 Agri Input" sheetId="53" state="hidden"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'!$A$1:$J$193</definedName>
    <definedName name="_xlnm.Print_Area" localSheetId="2">'2.Capex Details'!$A$1:$H$130</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'!$A$1:$J$37</definedName>
    <definedName name="_xlnm.Print_Area" localSheetId="9">'9. Financial indiacators'!$B$1:$M$183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32" i="83"/>
  <c r="B167" i="84" l="1"/>
  <c r="C72" i="83"/>
  <c r="D72" s="1"/>
  <c r="E72" s="1"/>
  <c r="F72" s="1"/>
  <c r="G72" s="1"/>
  <c r="H72" s="1"/>
  <c r="C130" l="1"/>
  <c r="D130" s="1"/>
  <c r="E130" s="1"/>
  <c r="F130" s="1"/>
  <c r="G130" s="1"/>
  <c r="H130" s="1"/>
  <c r="C44" l="1"/>
  <c r="D44" s="1"/>
  <c r="E44" s="1"/>
  <c r="F44" s="1"/>
  <c r="G44" s="1"/>
  <c r="H44" s="1"/>
  <c r="D14" i="22" l="1"/>
  <c r="G72" i="57"/>
  <c r="G71"/>
  <c r="G70"/>
  <c r="G69"/>
  <c r="G68"/>
  <c r="G67"/>
  <c r="G66"/>
  <c r="G65"/>
  <c r="G64"/>
  <c r="G63"/>
  <c r="G62"/>
  <c r="G61"/>
  <c r="G60"/>
  <c r="G59"/>
  <c r="B60"/>
  <c r="B61" s="1"/>
  <c r="B62" s="1"/>
  <c r="B63" s="1"/>
  <c r="B64" s="1"/>
  <c r="B65" s="1"/>
  <c r="B66" s="1"/>
  <c r="B67" s="1"/>
  <c r="B68" s="1"/>
  <c r="B69" s="1"/>
  <c r="B70" s="1"/>
  <c r="B71" s="1"/>
  <c r="B72" s="1"/>
  <c r="B111" i="83"/>
  <c r="B120"/>
  <c r="G6" i="57" l="1"/>
  <c r="G7"/>
  <c r="G8"/>
  <c r="G9"/>
  <c r="G10"/>
  <c r="G11"/>
  <c r="G49"/>
  <c r="G50"/>
  <c r="G51"/>
  <c r="G52"/>
  <c r="G53"/>
  <c r="G54"/>
  <c r="G34"/>
  <c r="G36"/>
  <c r="G37"/>
  <c r="G38"/>
  <c r="G39"/>
  <c r="G40"/>
  <c r="G41"/>
  <c r="G42"/>
  <c r="G43"/>
  <c r="G44"/>
  <c r="G45"/>
  <c r="G46"/>
  <c r="G21"/>
  <c r="G22"/>
  <c r="G23"/>
  <c r="G24"/>
  <c r="G25"/>
  <c r="G26"/>
  <c r="G27"/>
  <c r="G28"/>
  <c r="G29"/>
  <c r="G30"/>
  <c r="G31"/>
  <c r="G57"/>
  <c r="F84"/>
  <c r="F85"/>
  <c r="F86"/>
  <c r="F87"/>
  <c r="F88"/>
  <c r="F89"/>
  <c r="F98"/>
  <c r="F99"/>
  <c r="F100"/>
  <c r="F101"/>
  <c r="F102"/>
  <c r="F103"/>
  <c r="F112"/>
  <c r="F113"/>
  <c r="F114"/>
  <c r="D127"/>
  <c r="D10" i="62" s="1"/>
  <c r="C86" i="22" s="1"/>
  <c r="B7" i="81"/>
  <c r="B9" s="1"/>
  <c r="D15" s="1"/>
  <c r="D16"/>
  <c r="D20"/>
  <c r="B113"/>
  <c r="C30" i="53"/>
  <c r="C83" s="1"/>
  <c r="C31"/>
  <c r="C84" s="1"/>
  <c r="B7" i="83"/>
  <c r="B9" s="1"/>
  <c r="D22" s="1"/>
  <c r="C42" i="53"/>
  <c r="C95" s="1"/>
  <c r="C51"/>
  <c r="C104" s="1"/>
  <c r="D172" s="1"/>
  <c r="F8" i="48"/>
  <c r="H8" s="1"/>
  <c r="D28"/>
  <c r="F9"/>
  <c r="H9"/>
  <c r="C29" s="1"/>
  <c r="D29"/>
  <c r="F29" s="1"/>
  <c r="F10"/>
  <c r="H10" s="1"/>
  <c r="C30" s="1"/>
  <c r="D30"/>
  <c r="F11"/>
  <c r="H11" s="1"/>
  <c r="D31"/>
  <c r="F12"/>
  <c r="H12" s="1"/>
  <c r="J12" s="1"/>
  <c r="D32"/>
  <c r="C33"/>
  <c r="E33" s="1"/>
  <c r="D33"/>
  <c r="C34"/>
  <c r="D34"/>
  <c r="C35"/>
  <c r="D35"/>
  <c r="C36"/>
  <c r="D36"/>
  <c r="C37"/>
  <c r="F37" s="1"/>
  <c r="D37"/>
  <c r="C38"/>
  <c r="D38"/>
  <c r="B63" i="55"/>
  <c r="D22" i="81"/>
  <c r="F22" s="1"/>
  <c r="H22" s="1"/>
  <c r="B32" i="55"/>
  <c r="B162"/>
  <c r="D221" s="1"/>
  <c r="B163"/>
  <c r="D222" s="1"/>
  <c r="B164"/>
  <c r="D223" s="1"/>
  <c r="B65" i="81"/>
  <c r="B34" i="72"/>
  <c r="B10" i="42"/>
  <c r="D21" s="1"/>
  <c r="D23" s="1"/>
  <c r="B41" i="84"/>
  <c r="D205" i="53"/>
  <c r="D214"/>
  <c r="D243"/>
  <c r="D255" i="55"/>
  <c r="D279"/>
  <c r="D280"/>
  <c r="H55" i="57"/>
  <c r="B283" i="55" s="1"/>
  <c r="B158" i="72"/>
  <c r="O11" i="61" s="1"/>
  <c r="P11" s="1"/>
  <c r="Q11" s="1"/>
  <c r="R11" s="1"/>
  <c r="H73" i="57"/>
  <c r="V11" i="61" s="1"/>
  <c r="J9" i="48"/>
  <c r="J13"/>
  <c r="J14"/>
  <c r="J15"/>
  <c r="J16"/>
  <c r="J17"/>
  <c r="M8"/>
  <c r="M9"/>
  <c r="M10"/>
  <c r="M11"/>
  <c r="M12"/>
  <c r="M13"/>
  <c r="M14"/>
  <c r="M15"/>
  <c r="M16"/>
  <c r="M17"/>
  <c r="D27" i="42"/>
  <c r="D28"/>
  <c r="C29"/>
  <c r="D29"/>
  <c r="M126" i="57"/>
  <c r="E149" i="84"/>
  <c r="F149" s="1"/>
  <c r="K12" i="83"/>
  <c r="L12"/>
  <c r="M12" s="1"/>
  <c r="N12" s="1"/>
  <c r="H31" i="84"/>
  <c r="H32"/>
  <c r="H33"/>
  <c r="C74" i="83"/>
  <c r="C13" i="84" s="1"/>
  <c r="D181"/>
  <c r="D182"/>
  <c r="A156"/>
  <c r="A155"/>
  <c r="A154"/>
  <c r="A70" i="83"/>
  <c r="A98" s="1"/>
  <c r="A37" i="84" s="1"/>
  <c r="A65" s="1"/>
  <c r="A135" s="1"/>
  <c r="A69" i="83"/>
  <c r="A97" s="1"/>
  <c r="A36" i="84" s="1"/>
  <c r="A64" s="1"/>
  <c r="A131" s="1"/>
  <c r="A67" i="83"/>
  <c r="A95" s="1"/>
  <c r="A63"/>
  <c r="A52" i="55" s="1"/>
  <c r="A109" s="1"/>
  <c r="A161" s="1"/>
  <c r="A220" s="1"/>
  <c r="A274" s="1"/>
  <c r="A62" i="83"/>
  <c r="A90" s="1"/>
  <c r="A29" i="84" s="1"/>
  <c r="A60" s="1"/>
  <c r="A121" s="1"/>
  <c r="A61" i="83"/>
  <c r="A89" s="1"/>
  <c r="A28" i="84"/>
  <c r="A59" s="1"/>
  <c r="A120" s="1"/>
  <c r="A60" i="83"/>
  <c r="A88"/>
  <c r="A27" i="84" s="1"/>
  <c r="A58" s="1"/>
  <c r="A119" s="1"/>
  <c r="A59" i="83"/>
  <c r="A87" s="1"/>
  <c r="A26" i="84" s="1"/>
  <c r="A57" s="1"/>
  <c r="A118" s="1"/>
  <c r="A58" i="83"/>
  <c r="A86" s="1"/>
  <c r="A25" i="84" s="1"/>
  <c r="A56" s="1"/>
  <c r="A114" s="1"/>
  <c r="A57" i="83"/>
  <c r="A85" s="1"/>
  <c r="A24" i="84" s="1"/>
  <c r="A55" s="1"/>
  <c r="A110" s="1"/>
  <c r="A56" i="83"/>
  <c r="A84" s="1"/>
  <c r="A55"/>
  <c r="A83"/>
  <c r="A22" i="84" s="1"/>
  <c r="A53" s="1"/>
  <c r="A102" s="1"/>
  <c r="A54" i="83"/>
  <c r="A82" s="1"/>
  <c r="A53"/>
  <c r="A81" s="1"/>
  <c r="A20" i="84" s="1"/>
  <c r="A51" s="1"/>
  <c r="A94" s="1"/>
  <c r="A52" i="83"/>
  <c r="A80" s="1"/>
  <c r="A51"/>
  <c r="A79" s="1"/>
  <c r="A18" i="84" s="1"/>
  <c r="A49" s="1"/>
  <c r="A87" s="1"/>
  <c r="A50" i="83"/>
  <c r="A78" s="1"/>
  <c r="A17" i="84" s="1"/>
  <c r="A48" s="1"/>
  <c r="A83" s="1"/>
  <c r="A49" i="83"/>
  <c r="A77" s="1"/>
  <c r="A48"/>
  <c r="A76"/>
  <c r="A15" i="84" s="1"/>
  <c r="A46" s="1"/>
  <c r="A75" s="1"/>
  <c r="A47" i="83"/>
  <c r="A75" s="1"/>
  <c r="A14" i="84" s="1"/>
  <c r="A45" s="1"/>
  <c r="A71" s="1"/>
  <c r="A46" i="83"/>
  <c r="A74" s="1"/>
  <c r="A13" i="84" s="1"/>
  <c r="A44" s="1"/>
  <c r="A67" s="1"/>
  <c r="A68" i="83"/>
  <c r="A96"/>
  <c r="A35" i="84" s="1"/>
  <c r="A63" s="1"/>
  <c r="C40"/>
  <c r="C41" s="1"/>
  <c r="A66" i="83"/>
  <c r="A55" i="55" s="1"/>
  <c r="A112" s="1"/>
  <c r="A164" s="1"/>
  <c r="A223" s="1"/>
  <c r="A65" i="83"/>
  <c r="A93" s="1"/>
  <c r="A64"/>
  <c r="A53" i="55" s="1"/>
  <c r="A110" s="1"/>
  <c r="A162" s="1"/>
  <c r="A221" s="1"/>
  <c r="A92" i="83"/>
  <c r="A31" i="84" s="1"/>
  <c r="C90" i="81"/>
  <c r="D90" s="1"/>
  <c r="E90" s="1"/>
  <c r="F90" s="1"/>
  <c r="G90" s="1"/>
  <c r="H90" s="1"/>
  <c r="E124" i="53"/>
  <c r="I31"/>
  <c r="I84" s="1"/>
  <c r="H31"/>
  <c r="H84" s="1"/>
  <c r="C100" i="83"/>
  <c r="D100" s="1"/>
  <c r="E100" s="1"/>
  <c r="F100" s="1"/>
  <c r="G100" s="1"/>
  <c r="H100" s="1"/>
  <c r="C111"/>
  <c r="G31" i="53"/>
  <c r="G84" s="1"/>
  <c r="F31"/>
  <c r="F84" s="1"/>
  <c r="E31"/>
  <c r="E84" s="1"/>
  <c r="D31"/>
  <c r="D84" s="1"/>
  <c r="D265"/>
  <c r="D266"/>
  <c r="D267"/>
  <c r="D268"/>
  <c r="A251"/>
  <c r="A250"/>
  <c r="A249"/>
  <c r="A247"/>
  <c r="A246"/>
  <c r="A245"/>
  <c r="A244"/>
  <c r="A179"/>
  <c r="A243" s="1"/>
  <c r="A126" i="83"/>
  <c r="A57" i="53" s="1"/>
  <c r="A117" i="83"/>
  <c r="A48" i="53" s="1"/>
  <c r="A101" s="1"/>
  <c r="A116" i="83"/>
  <c r="A47" i="53" s="1"/>
  <c r="A115" i="83"/>
  <c r="A46" i="53" s="1"/>
  <c r="A111" i="83"/>
  <c r="A42" i="53" s="1"/>
  <c r="A163" s="1"/>
  <c r="A230" s="1"/>
  <c r="A32"/>
  <c r="A85" s="1"/>
  <c r="A31"/>
  <c r="A152" s="1"/>
  <c r="A219" s="1"/>
  <c r="A62" i="81"/>
  <c r="A87" s="1"/>
  <c r="A112" s="1"/>
  <c r="A30" i="53"/>
  <c r="A61" i="81"/>
  <c r="A86" s="1"/>
  <c r="A111" s="1"/>
  <c r="A29" i="53" s="1"/>
  <c r="A150" s="1"/>
  <c r="A217" s="1"/>
  <c r="A60" i="81"/>
  <c r="A85" s="1"/>
  <c r="A110" s="1"/>
  <c r="A28" i="53" s="1"/>
  <c r="A59" i="81"/>
  <c r="A28" i="55" s="1"/>
  <c r="A85" s="1"/>
  <c r="A137" s="1"/>
  <c r="A195" s="1"/>
  <c r="A250" s="1"/>
  <c r="A84" i="81"/>
  <c r="A30" i="72" s="1"/>
  <c r="A54" s="1"/>
  <c r="A115" s="1"/>
  <c r="A26" i="53"/>
  <c r="A147" s="1"/>
  <c r="A214" s="1"/>
  <c r="A58" i="81"/>
  <c r="A83" s="1"/>
  <c r="A57"/>
  <c r="A82" s="1"/>
  <c r="A56"/>
  <c r="A81" s="1"/>
  <c r="A55"/>
  <c r="A80" s="1"/>
  <c r="A54"/>
  <c r="A79" s="1"/>
  <c r="A104" s="1"/>
  <c r="A21" i="53" s="1"/>
  <c r="A53" i="81"/>
  <c r="A78"/>
  <c r="A24" i="72" s="1"/>
  <c r="A48" s="1"/>
  <c r="A97" s="1"/>
  <c r="A52" i="81"/>
  <c r="A77" s="1"/>
  <c r="A51"/>
  <c r="A76"/>
  <c r="A101" s="1"/>
  <c r="A18" i="53" s="1"/>
  <c r="A139" s="1"/>
  <c r="A206" s="1"/>
  <c r="A138"/>
  <c r="A205"/>
  <c r="A49" i="81"/>
  <c r="A74" s="1"/>
  <c r="A48"/>
  <c r="A47"/>
  <c r="A72" s="1"/>
  <c r="A46"/>
  <c r="A71" s="1"/>
  <c r="A96" s="1"/>
  <c r="A13" i="53" s="1"/>
  <c r="A45" i="81"/>
  <c r="A70"/>
  <c r="A95" s="1"/>
  <c r="A12" i="53" s="1"/>
  <c r="A44" i="81"/>
  <c r="A43"/>
  <c r="A68" s="1"/>
  <c r="A42"/>
  <c r="A67" s="1"/>
  <c r="A195" i="53"/>
  <c r="A129"/>
  <c r="A79"/>
  <c r="A70"/>
  <c r="A61"/>
  <c r="F23" i="48"/>
  <c r="G23" s="1"/>
  <c r="G52" s="1"/>
  <c r="G56" s="1"/>
  <c r="D31" i="21" s="1"/>
  <c r="F52" i="48"/>
  <c r="F56" s="1"/>
  <c r="C31" i="21" s="1"/>
  <c r="E52" i="48"/>
  <c r="E56"/>
  <c r="B31" i="21" s="1"/>
  <c r="A32" i="48"/>
  <c r="A31"/>
  <c r="A30"/>
  <c r="A29"/>
  <c r="A28"/>
  <c r="F17"/>
  <c r="F16"/>
  <c r="F15"/>
  <c r="F14"/>
  <c r="F13"/>
  <c r="C9" i="42"/>
  <c r="D9" s="1"/>
  <c r="E9" s="1"/>
  <c r="E10" s="1"/>
  <c r="F9"/>
  <c r="E17"/>
  <c r="F17" s="1"/>
  <c r="F27" s="1"/>
  <c r="C10"/>
  <c r="E21" s="1"/>
  <c r="E23" s="1"/>
  <c r="F38" i="61" s="1"/>
  <c r="E28" i="42"/>
  <c r="E29"/>
  <c r="D37"/>
  <c r="D43"/>
  <c r="B30" i="21" s="1"/>
  <c r="E133" i="72"/>
  <c r="F133" s="1"/>
  <c r="G133" s="1"/>
  <c r="C40" i="81"/>
  <c r="C65" s="1"/>
  <c r="C33" i="72"/>
  <c r="D33"/>
  <c r="E33" s="1"/>
  <c r="C34"/>
  <c r="D172"/>
  <c r="D177" s="1"/>
  <c r="B29" i="21" s="1"/>
  <c r="K145" i="72"/>
  <c r="A121"/>
  <c r="A22"/>
  <c r="A46" s="1"/>
  <c r="A91" s="1"/>
  <c r="A50" i="81"/>
  <c r="A75" s="1"/>
  <c r="H63" i="55"/>
  <c r="G63"/>
  <c r="E172"/>
  <c r="E255" s="1"/>
  <c r="H32"/>
  <c r="H89" s="1"/>
  <c r="H141" s="1"/>
  <c r="G32"/>
  <c r="H162"/>
  <c r="G162"/>
  <c r="H163"/>
  <c r="G163"/>
  <c r="H164"/>
  <c r="G164"/>
  <c r="F63"/>
  <c r="F32"/>
  <c r="F162"/>
  <c r="F163"/>
  <c r="F164"/>
  <c r="E63"/>
  <c r="E32"/>
  <c r="E89" s="1"/>
  <c r="E162"/>
  <c r="E163"/>
  <c r="E164"/>
  <c r="D63"/>
  <c r="D32"/>
  <c r="D89" s="1"/>
  <c r="D162"/>
  <c r="D163"/>
  <c r="D164"/>
  <c r="C63"/>
  <c r="C32"/>
  <c r="C162"/>
  <c r="C163"/>
  <c r="C164"/>
  <c r="E294"/>
  <c r="E301" s="1"/>
  <c r="C28" i="21" s="1"/>
  <c r="D294" i="55"/>
  <c r="D301" s="1"/>
  <c r="B28" i="21" s="1"/>
  <c r="A280" i="55"/>
  <c r="A279"/>
  <c r="A59"/>
  <c r="A116" s="1"/>
  <c r="A168" s="1"/>
  <c r="A227" s="1"/>
  <c r="A278" s="1"/>
  <c r="A57"/>
  <c r="A114" s="1"/>
  <c r="A166" s="1"/>
  <c r="A225" s="1"/>
  <c r="A276" s="1"/>
  <c r="A49"/>
  <c r="A106" s="1"/>
  <c r="A158" s="1"/>
  <c r="A217" s="1"/>
  <c r="A271" s="1"/>
  <c r="A47"/>
  <c r="A104" s="1"/>
  <c r="A156" s="1"/>
  <c r="A215" s="1"/>
  <c r="A269" s="1"/>
  <c r="A44"/>
  <c r="A101" s="1"/>
  <c r="A153" s="1"/>
  <c r="A212" s="1"/>
  <c r="A266" s="1"/>
  <c r="A40"/>
  <c r="A97" s="1"/>
  <c r="A149" s="1"/>
  <c r="A208" s="1"/>
  <c r="A262" s="1"/>
  <c r="A37"/>
  <c r="A94" s="1"/>
  <c r="A146" s="1"/>
  <c r="A205" s="1"/>
  <c r="A259" s="1"/>
  <c r="A34"/>
  <c r="A91" s="1"/>
  <c r="A143" s="1"/>
  <c r="A202" s="1"/>
  <c r="A256" s="1"/>
  <c r="A255"/>
  <c r="A254"/>
  <c r="A30"/>
  <c r="A87" s="1"/>
  <c r="A139" s="1"/>
  <c r="A197" s="1"/>
  <c r="A252" s="1"/>
  <c r="A29"/>
  <c r="A86" s="1"/>
  <c r="A138" s="1"/>
  <c r="A196" s="1"/>
  <c r="A251" s="1"/>
  <c r="A27"/>
  <c r="A84" s="1"/>
  <c r="A136" s="1"/>
  <c r="A194" s="1"/>
  <c r="A249" s="1"/>
  <c r="A25"/>
  <c r="A82" s="1"/>
  <c r="A134" s="1"/>
  <c r="A192" s="1"/>
  <c r="A247" s="1"/>
  <c r="A23"/>
  <c r="A80" s="1"/>
  <c r="A132" s="1"/>
  <c r="A190" s="1"/>
  <c r="A245" s="1"/>
  <c r="A22"/>
  <c r="A79" s="1"/>
  <c r="A131" s="1"/>
  <c r="A189" s="1"/>
  <c r="A244" s="1"/>
  <c r="A21"/>
  <c r="A78" s="1"/>
  <c r="A130" s="1"/>
  <c r="A188" s="1"/>
  <c r="A243" s="1"/>
  <c r="A20"/>
  <c r="A77" s="1"/>
  <c r="A129" s="1"/>
  <c r="A187" s="1"/>
  <c r="A242" s="1"/>
  <c r="A19"/>
  <c r="A76" s="1"/>
  <c r="A128" s="1"/>
  <c r="A186" s="1"/>
  <c r="A241" s="1"/>
  <c r="A16"/>
  <c r="A73" s="1"/>
  <c r="A125" s="1"/>
  <c r="A183" s="1"/>
  <c r="A238" s="1"/>
  <c r="A15"/>
  <c r="A72" s="1"/>
  <c r="A124" s="1"/>
  <c r="A182" s="1"/>
  <c r="A237" s="1"/>
  <c r="A14"/>
  <c r="A71" s="1"/>
  <c r="A123" s="1"/>
  <c r="A181" s="1"/>
  <c r="A236" s="1"/>
  <c r="A12"/>
  <c r="A69" s="1"/>
  <c r="A121" s="1"/>
  <c r="A179" s="1"/>
  <c r="A234" s="1"/>
  <c r="A54"/>
  <c r="A111" s="1"/>
  <c r="A163" s="1"/>
  <c r="A222" s="1"/>
  <c r="A32"/>
  <c r="A89" s="1"/>
  <c r="A141" s="1"/>
  <c r="V12" i="83"/>
  <c r="W12"/>
  <c r="X12" s="1"/>
  <c r="P12"/>
  <c r="Q12" s="1"/>
  <c r="R12" s="1"/>
  <c r="S12" s="1"/>
  <c r="T12" s="1"/>
  <c r="B100" i="81"/>
  <c r="C100" s="1"/>
  <c r="K12"/>
  <c r="L12" s="1"/>
  <c r="M12" s="1"/>
  <c r="N12" s="1"/>
  <c r="V12"/>
  <c r="W12" s="1"/>
  <c r="X12" s="1"/>
  <c r="P12"/>
  <c r="Q12" s="1"/>
  <c r="R12" s="1"/>
  <c r="S12" s="1"/>
  <c r="T12" s="1"/>
  <c r="I173" i="29"/>
  <c r="F4" i="22"/>
  <c r="G4" s="1"/>
  <c r="H4"/>
  <c r="H19" s="1"/>
  <c r="H173" i="29"/>
  <c r="G173"/>
  <c r="F173"/>
  <c r="E173"/>
  <c r="G8" i="22"/>
  <c r="G9"/>
  <c r="G12"/>
  <c r="G13"/>
  <c r="G16"/>
  <c r="G20"/>
  <c r="G21"/>
  <c r="D173" i="29"/>
  <c r="F8" i="22"/>
  <c r="F9"/>
  <c r="F10"/>
  <c r="F11"/>
  <c r="F12"/>
  <c r="F13"/>
  <c r="F14"/>
  <c r="F15"/>
  <c r="F16"/>
  <c r="F18"/>
  <c r="F19"/>
  <c r="F20"/>
  <c r="F21"/>
  <c r="F22"/>
  <c r="C173" i="29"/>
  <c r="E8" i="22"/>
  <c r="E9"/>
  <c r="E10"/>
  <c r="E11"/>
  <c r="E12"/>
  <c r="E13"/>
  <c r="E14"/>
  <c r="E15"/>
  <c r="E16"/>
  <c r="E18"/>
  <c r="E19"/>
  <c r="E20"/>
  <c r="E21"/>
  <c r="E22"/>
  <c r="B128" i="29"/>
  <c r="B143" s="1"/>
  <c r="B158" s="1"/>
  <c r="B173" s="1"/>
  <c r="B127"/>
  <c r="B142" s="1"/>
  <c r="B157" s="1"/>
  <c r="B172" s="1"/>
  <c r="B126"/>
  <c r="B141" s="1"/>
  <c r="B156" s="1"/>
  <c r="B171" s="1"/>
  <c r="B125"/>
  <c r="B140" s="1"/>
  <c r="B155" s="1"/>
  <c r="B170" s="1"/>
  <c r="B124"/>
  <c r="B139" s="1"/>
  <c r="B154" s="1"/>
  <c r="B169" s="1"/>
  <c r="B123"/>
  <c r="B138" s="1"/>
  <c r="B153" s="1"/>
  <c r="B168" s="1"/>
  <c r="B122"/>
  <c r="B137" s="1"/>
  <c r="B152" s="1"/>
  <c r="B167" s="1"/>
  <c r="I158"/>
  <c r="H158"/>
  <c r="G158"/>
  <c r="F158"/>
  <c r="E158"/>
  <c r="D158"/>
  <c r="C158"/>
  <c r="I143"/>
  <c r="H143"/>
  <c r="G143"/>
  <c r="F143"/>
  <c r="E143"/>
  <c r="D143"/>
  <c r="C143"/>
  <c r="I128"/>
  <c r="H128"/>
  <c r="G128"/>
  <c r="F128"/>
  <c r="E128"/>
  <c r="D128"/>
  <c r="C128"/>
  <c r="G43" i="21"/>
  <c r="H61" i="29" s="1"/>
  <c r="H43" i="21"/>
  <c r="J97" i="29" s="1"/>
  <c r="B98"/>
  <c r="B97"/>
  <c r="B96"/>
  <c r="B95"/>
  <c r="C65"/>
  <c r="D65"/>
  <c r="E65" s="1"/>
  <c r="F65" s="1"/>
  <c r="G65" s="1"/>
  <c r="H65" s="1"/>
  <c r="I65" s="1"/>
  <c r="B37"/>
  <c r="B36"/>
  <c r="B35"/>
  <c r="B34"/>
  <c r="B33"/>
  <c r="B32"/>
  <c r="B17" i="68"/>
  <c r="B16"/>
  <c r="B9"/>
  <c r="H28" i="69"/>
  <c r="A23" i="21"/>
  <c r="A33" s="1"/>
  <c r="A22"/>
  <c r="A32" s="1"/>
  <c r="A21"/>
  <c r="A31" s="1"/>
  <c r="A20"/>
  <c r="A30" s="1"/>
  <c r="A19"/>
  <c r="A29" s="1"/>
  <c r="A18"/>
  <c r="A28" s="1"/>
  <c r="C52" i="61"/>
  <c r="C51"/>
  <c r="C50"/>
  <c r="C49"/>
  <c r="C48"/>
  <c r="C47"/>
  <c r="C17"/>
  <c r="V8"/>
  <c r="V9"/>
  <c r="V10"/>
  <c r="V12"/>
  <c r="V13"/>
  <c r="R8"/>
  <c r="O9"/>
  <c r="P9" s="1"/>
  <c r="Q9" s="1"/>
  <c r="R9" s="1"/>
  <c r="O10"/>
  <c r="P10" s="1"/>
  <c r="Q10" s="1"/>
  <c r="R10" s="1"/>
  <c r="O12"/>
  <c r="P12"/>
  <c r="Q12" s="1"/>
  <c r="R12" s="1"/>
  <c r="O13"/>
  <c r="P13" s="1"/>
  <c r="Q13" s="1"/>
  <c r="R13" s="1"/>
  <c r="Q8"/>
  <c r="P8"/>
  <c r="O8"/>
  <c r="C16"/>
  <c r="C15"/>
  <c r="U13"/>
  <c r="N13"/>
  <c r="U12"/>
  <c r="N12"/>
  <c r="U11"/>
  <c r="N11"/>
  <c r="U10"/>
  <c r="N10"/>
  <c r="U9"/>
  <c r="N9"/>
  <c r="C9"/>
  <c r="I87" i="22"/>
  <c r="H87"/>
  <c r="A64"/>
  <c r="A63"/>
  <c r="A62"/>
  <c r="A61"/>
  <c r="H32" i="57"/>
  <c r="M15" i="62"/>
  <c r="M17" s="1"/>
  <c r="C10"/>
  <c r="C9"/>
  <c r="C8"/>
  <c r="C7"/>
  <c r="C6"/>
  <c r="C5"/>
  <c r="C89" i="55" l="1"/>
  <c r="E254" s="1"/>
  <c r="A142" i="53"/>
  <c r="A209" s="1"/>
  <c r="A74"/>
  <c r="A28" i="72"/>
  <c r="A52" s="1"/>
  <c r="A109" s="1"/>
  <c r="A107" i="81"/>
  <c r="A24" i="53" s="1"/>
  <c r="A145" s="1"/>
  <c r="A212" s="1"/>
  <c r="A108" i="81"/>
  <c r="A25" i="53" s="1"/>
  <c r="A146" s="1"/>
  <c r="A213" s="1"/>
  <c r="A29" i="72"/>
  <c r="A53" s="1"/>
  <c r="A112" s="1"/>
  <c r="F15" i="81"/>
  <c r="H15" s="1"/>
  <c r="B93"/>
  <c r="C10" i="53" s="1"/>
  <c r="C63" s="1"/>
  <c r="D131" s="1"/>
  <c r="B89" i="55"/>
  <c r="D254" s="1"/>
  <c r="E172" i="72"/>
  <c r="E177" s="1"/>
  <c r="C29" i="21" s="1"/>
  <c r="A102" i="83"/>
  <c r="A33" i="53" s="1"/>
  <c r="A86" s="1"/>
  <c r="A91" i="83"/>
  <c r="A30" i="84" s="1"/>
  <c r="A61" s="1"/>
  <c r="C44" i="48"/>
  <c r="A26" i="55"/>
  <c r="A83" s="1"/>
  <c r="A135" s="1"/>
  <c r="A193" s="1"/>
  <c r="A248" s="1"/>
  <c r="E280"/>
  <c r="F33" i="48"/>
  <c r="D34" i="42"/>
  <c r="E38" i="48"/>
  <c r="F36"/>
  <c r="E34"/>
  <c r="C32"/>
  <c r="H11" i="22"/>
  <c r="A42" i="55"/>
  <c r="A99" s="1"/>
  <c r="A151" s="1"/>
  <c r="A210" s="1"/>
  <c r="A264" s="1"/>
  <c r="F89"/>
  <c r="F141" s="1"/>
  <c r="F172"/>
  <c r="F294" s="1"/>
  <c r="F301" s="1"/>
  <c r="D28" i="21" s="1"/>
  <c r="D34" i="72"/>
  <c r="A103" i="81"/>
  <c r="A20" i="53" s="1"/>
  <c r="A73" s="1"/>
  <c r="A94" i="83"/>
  <c r="A33" i="84" s="1"/>
  <c r="E37" i="48"/>
  <c r="F35"/>
  <c r="E30"/>
  <c r="E223" i="55"/>
  <c r="A14" i="72"/>
  <c r="A38" s="1"/>
  <c r="A93" i="81"/>
  <c r="A10" i="53" s="1"/>
  <c r="A134"/>
  <c r="A201" s="1"/>
  <c r="A66"/>
  <c r="A81"/>
  <c r="A149"/>
  <c r="A216" s="1"/>
  <c r="A32" i="84"/>
  <c r="A121" i="83"/>
  <c r="A52" i="53" s="1"/>
  <c r="A105" s="1"/>
  <c r="E44" i="48"/>
  <c r="F44"/>
  <c r="D219" i="53"/>
  <c r="D152"/>
  <c r="A18" i="72"/>
  <c r="A42" s="1"/>
  <c r="A77" s="1"/>
  <c r="A97" i="81"/>
  <c r="A14" i="53" s="1"/>
  <c r="E51" i="61"/>
  <c r="B20" i="21"/>
  <c r="E38" i="61"/>
  <c r="B10" i="21"/>
  <c r="G222" i="55"/>
  <c r="F222"/>
  <c r="A105" i="81"/>
  <c r="A22" i="53" s="1"/>
  <c r="A143" s="1"/>
  <c r="A210" s="1"/>
  <c r="A26" i="72"/>
  <c r="A50" s="1"/>
  <c r="A103" s="1"/>
  <c r="A34" i="84"/>
  <c r="A62" s="1"/>
  <c r="A123" s="1"/>
  <c r="A123" i="83"/>
  <c r="A54" i="53" s="1"/>
  <c r="I61" i="29"/>
  <c r="J12"/>
  <c r="D100" i="81"/>
  <c r="E100" s="1"/>
  <c r="F100" s="1"/>
  <c r="G100" s="1"/>
  <c r="H100" s="1"/>
  <c r="F279" i="55"/>
  <c r="G172"/>
  <c r="G254" s="1"/>
  <c r="A99" i="81"/>
  <c r="A16" i="53" s="1"/>
  <c r="A137" s="1"/>
  <c r="A204" s="1"/>
  <c r="A20" i="72"/>
  <c r="A44" s="1"/>
  <c r="A83" s="1"/>
  <c r="A106" i="81"/>
  <c r="A23" i="53" s="1"/>
  <c r="A27" i="72"/>
  <c r="A51" s="1"/>
  <c r="A106" s="1"/>
  <c r="D10" i="42"/>
  <c r="F21" s="1"/>
  <c r="F23" s="1"/>
  <c r="A11" i="55"/>
  <c r="A68" s="1"/>
  <c r="A120" s="1"/>
  <c r="A178" s="1"/>
  <c r="A233" s="1"/>
  <c r="A18"/>
  <c r="A75" s="1"/>
  <c r="A127" s="1"/>
  <c r="A185" s="1"/>
  <c r="A240" s="1"/>
  <c r="A24"/>
  <c r="A81" s="1"/>
  <c r="A133" s="1"/>
  <c r="A191" s="1"/>
  <c r="A246" s="1"/>
  <c r="A31"/>
  <c r="A88" s="1"/>
  <c r="A140" s="1"/>
  <c r="A198" s="1"/>
  <c r="A253" s="1"/>
  <c r="E222"/>
  <c r="E279"/>
  <c r="A16" i="72"/>
  <c r="A40" s="1"/>
  <c r="A69" s="1"/>
  <c r="A31"/>
  <c r="A55" s="1"/>
  <c r="A118" s="1"/>
  <c r="F30" i="48"/>
  <c r="A153" i="53"/>
  <c r="A220" s="1"/>
  <c r="A103" i="83"/>
  <c r="A34" i="53" s="1"/>
  <c r="A87" s="1"/>
  <c r="A114" i="83"/>
  <c r="A45" i="53" s="1"/>
  <c r="A166" s="1"/>
  <c r="A233" s="1"/>
  <c r="D273"/>
  <c r="B32" i="21" s="1"/>
  <c r="J10" i="48"/>
  <c r="E35"/>
  <c r="E29"/>
  <c r="D45" i="42"/>
  <c r="D47" s="1"/>
  <c r="C113" i="81"/>
  <c r="I12" i="29"/>
  <c r="A36" i="55"/>
  <c r="A93" s="1"/>
  <c r="A145" s="1"/>
  <c r="A204" s="1"/>
  <c r="A258" s="1"/>
  <c r="A56"/>
  <c r="A113" s="1"/>
  <c r="A165" s="1"/>
  <c r="A224" s="1"/>
  <c r="A275" s="1"/>
  <c r="E221"/>
  <c r="G221"/>
  <c r="G89"/>
  <c r="G141" s="1"/>
  <c r="A25" i="72"/>
  <c r="A49" s="1"/>
  <c r="A100" s="1"/>
  <c r="D40" i="81"/>
  <c r="A84" i="53"/>
  <c r="A109" i="81"/>
  <c r="A27" i="53" s="1"/>
  <c r="A80" s="1"/>
  <c r="A106" i="83"/>
  <c r="A37" i="53" s="1"/>
  <c r="A158" s="1"/>
  <c r="A225" s="1"/>
  <c r="C120" i="83"/>
  <c r="D51" i="53" s="1"/>
  <c r="D104" s="1"/>
  <c r="E172" s="1"/>
  <c r="D40" i="84"/>
  <c r="E40" s="1"/>
  <c r="D186"/>
  <c r="B33" i="21" s="1"/>
  <c r="E141" i="55"/>
  <c r="D141"/>
  <c r="A154" i="53"/>
  <c r="A221" s="1"/>
  <c r="A125" i="83"/>
  <c r="A56" i="53" s="1"/>
  <c r="A109" s="1"/>
  <c r="A107" i="83"/>
  <c r="A38" i="53" s="1"/>
  <c r="A91" s="1"/>
  <c r="A173"/>
  <c r="A113" i="83"/>
  <c r="A44" i="53" s="1"/>
  <c r="A118" i="83"/>
  <c r="A49" i="53" s="1"/>
  <c r="A170" s="1"/>
  <c r="A237" s="1"/>
  <c r="A99"/>
  <c r="A167"/>
  <c r="A234" s="1"/>
  <c r="A16" i="84"/>
  <c r="A47" s="1"/>
  <c r="A79" s="1"/>
  <c r="A105" i="83"/>
  <c r="A36" i="53" s="1"/>
  <c r="A23" i="84"/>
  <c r="A54" s="1"/>
  <c r="A106" s="1"/>
  <c r="A112" i="83"/>
  <c r="A43" i="53" s="1"/>
  <c r="A96" s="1"/>
  <c r="A90"/>
  <c r="A19" i="84"/>
  <c r="A50" s="1"/>
  <c r="A91" s="1"/>
  <c r="A108" i="83"/>
  <c r="A39" i="53" s="1"/>
  <c r="A92" s="1"/>
  <c r="A21" i="84"/>
  <c r="A52" s="1"/>
  <c r="A98" s="1"/>
  <c r="A110" i="83"/>
  <c r="A41" i="53" s="1"/>
  <c r="A38" i="55"/>
  <c r="A95" s="1"/>
  <c r="A147" s="1"/>
  <c r="A206" s="1"/>
  <c r="A260" s="1"/>
  <c r="A43"/>
  <c r="A100" s="1"/>
  <c r="A152" s="1"/>
  <c r="A211" s="1"/>
  <c r="A265" s="1"/>
  <c r="A122" i="83"/>
  <c r="A53" i="53" s="1"/>
  <c r="A39" i="55"/>
  <c r="A96" s="1"/>
  <c r="A148" s="1"/>
  <c r="A207" s="1"/>
  <c r="A261" s="1"/>
  <c r="A45"/>
  <c r="A102" s="1"/>
  <c r="A154" s="1"/>
  <c r="A213" s="1"/>
  <c r="A267" s="1"/>
  <c r="A50"/>
  <c r="A107" s="1"/>
  <c r="A159" s="1"/>
  <c r="A218" s="1"/>
  <c r="A272" s="1"/>
  <c r="A95" i="53"/>
  <c r="A104" i="83"/>
  <c r="A35" i="53" s="1"/>
  <c r="A156" s="1"/>
  <c r="A223" s="1"/>
  <c r="A119" i="83"/>
  <c r="A50" i="53" s="1"/>
  <c r="A103" s="1"/>
  <c r="A35" i="55"/>
  <c r="A92" s="1"/>
  <c r="A144" s="1"/>
  <c r="A203" s="1"/>
  <c r="A257" s="1"/>
  <c r="A41"/>
  <c r="A98" s="1"/>
  <c r="A150" s="1"/>
  <c r="A209" s="1"/>
  <c r="A263" s="1"/>
  <c r="A46"/>
  <c r="A103" s="1"/>
  <c r="A155" s="1"/>
  <c r="A214" s="1"/>
  <c r="A268" s="1"/>
  <c r="A48"/>
  <c r="A105" s="1"/>
  <c r="A157" s="1"/>
  <c r="A216" s="1"/>
  <c r="A270" s="1"/>
  <c r="A51"/>
  <c r="A108" s="1"/>
  <c r="A160" s="1"/>
  <c r="A219" s="1"/>
  <c r="A273" s="1"/>
  <c r="A120" i="83"/>
  <c r="A51" i="53" s="1"/>
  <c r="A104" s="1"/>
  <c r="A109" i="83"/>
  <c r="A40" i="53" s="1"/>
  <c r="A169"/>
  <c r="A236" s="1"/>
  <c r="C44" i="84"/>
  <c r="A178" i="53"/>
  <c r="A242" s="1"/>
  <c r="A110"/>
  <c r="A124" i="83"/>
  <c r="A55" i="53" s="1"/>
  <c r="A58" i="55"/>
  <c r="A115" s="1"/>
  <c r="A167" s="1"/>
  <c r="A226" s="1"/>
  <c r="A277" s="1"/>
  <c r="A177" i="53"/>
  <c r="A241" s="1"/>
  <c r="F90" i="57"/>
  <c r="P84" s="1"/>
  <c r="F182" i="84"/>
  <c r="G149"/>
  <c r="G181" s="1"/>
  <c r="F181"/>
  <c r="E181"/>
  <c r="E182"/>
  <c r="F86" i="22"/>
  <c r="E43" i="21" s="1"/>
  <c r="B43"/>
  <c r="C61" i="29" s="1"/>
  <c r="C87" i="22"/>
  <c r="F10" i="62"/>
  <c r="E86" i="22"/>
  <c r="D43" i="21" s="1"/>
  <c r="F97" i="29" s="1"/>
  <c r="D86" i="22"/>
  <c r="F115" i="57"/>
  <c r="D9" i="62" s="1"/>
  <c r="F104" i="57"/>
  <c r="D8" i="62" s="1"/>
  <c r="C19" i="68" s="1"/>
  <c r="C21"/>
  <c r="G86" i="22"/>
  <c r="F43" i="21" s="1"/>
  <c r="H12" i="29" s="1"/>
  <c r="D7" i="62"/>
  <c r="P16" i="61"/>
  <c r="V16"/>
  <c r="Q16"/>
  <c r="H75" i="57"/>
  <c r="O16" i="61"/>
  <c r="C32" i="83"/>
  <c r="D35" s="1"/>
  <c r="R16" i="61"/>
  <c r="H9" i="22"/>
  <c r="H13"/>
  <c r="H21"/>
  <c r="H10"/>
  <c r="H14"/>
  <c r="H18"/>
  <c r="H22"/>
  <c r="I97" i="29"/>
  <c r="H16" i="22"/>
  <c r="H8"/>
  <c r="G10"/>
  <c r="G14"/>
  <c r="G18"/>
  <c r="G22"/>
  <c r="G11"/>
  <c r="G15"/>
  <c r="G19"/>
  <c r="C141" i="55"/>
  <c r="C10" i="21"/>
  <c r="A71" i="53"/>
  <c r="A82"/>
  <c r="A73" i="81"/>
  <c r="A17" i="55"/>
  <c r="A74" s="1"/>
  <c r="A126" s="1"/>
  <c r="A184" s="1"/>
  <c r="A239" s="1"/>
  <c r="A75" i="53"/>
  <c r="F61" i="29"/>
  <c r="H15" i="22"/>
  <c r="F221" i="55"/>
  <c r="G223"/>
  <c r="A69" i="81"/>
  <c r="A13" i="55"/>
  <c r="A70" s="1"/>
  <c r="A122" s="1"/>
  <c r="A180" s="1"/>
  <c r="A235" s="1"/>
  <c r="A141" i="53"/>
  <c r="A208" s="1"/>
  <c r="A155"/>
  <c r="A222" s="1"/>
  <c r="H20" i="22"/>
  <c r="H12"/>
  <c r="I4"/>
  <c r="F223" i="55"/>
  <c r="H172"/>
  <c r="H199" s="1"/>
  <c r="G279"/>
  <c r="G280"/>
  <c r="A21" i="72"/>
  <c r="A45" s="1"/>
  <c r="A87" s="1"/>
  <c r="A100" i="81"/>
  <c r="A83" i="53"/>
  <c r="A151"/>
  <c r="A218" s="1"/>
  <c r="F10" i="42"/>
  <c r="G9"/>
  <c r="G29" i="48"/>
  <c r="G33"/>
  <c r="G37"/>
  <c r="G44"/>
  <c r="G30"/>
  <c r="G34"/>
  <c r="G38"/>
  <c r="H23"/>
  <c r="G36"/>
  <c r="A92" i="81"/>
  <c r="A9" i="53" s="1"/>
  <c r="A13" i="72"/>
  <c r="A37" s="1"/>
  <c r="A58" s="1"/>
  <c r="D113" i="81"/>
  <c r="D30" i="53"/>
  <c r="D83" s="1"/>
  <c r="F124"/>
  <c r="F152" s="1"/>
  <c r="E205"/>
  <c r="E267"/>
  <c r="E214"/>
  <c r="E152"/>
  <c r="E268"/>
  <c r="E219"/>
  <c r="E265"/>
  <c r="F280" i="55"/>
  <c r="F255"/>
  <c r="A17" i="72"/>
  <c r="A41" s="1"/>
  <c r="A72" s="1"/>
  <c r="F33"/>
  <c r="E34"/>
  <c r="A159" i="53"/>
  <c r="A226" s="1"/>
  <c r="A175"/>
  <c r="A239" s="1"/>
  <c r="A107"/>
  <c r="E266"/>
  <c r="E243"/>
  <c r="H133" i="72"/>
  <c r="G172"/>
  <c r="G177" s="1"/>
  <c r="E29" i="21" s="1"/>
  <c r="G17" i="42"/>
  <c r="F29"/>
  <c r="F28"/>
  <c r="F34" s="1"/>
  <c r="F37"/>
  <c r="F43" s="1"/>
  <c r="D30" i="21" s="1"/>
  <c r="G35" i="48"/>
  <c r="A100" i="53"/>
  <c r="A168"/>
  <c r="A235" s="1"/>
  <c r="D111" i="83"/>
  <c r="D42" i="53"/>
  <c r="D95" s="1"/>
  <c r="E230" s="1"/>
  <c r="F172" i="72"/>
  <c r="F177" s="1"/>
  <c r="D29" i="21" s="1"/>
  <c r="E27" i="42"/>
  <c r="E34" s="1"/>
  <c r="E37"/>
  <c r="E43" s="1"/>
  <c r="C30" i="21" s="1"/>
  <c r="A133" i="53"/>
  <c r="A200" s="1"/>
  <c r="A65"/>
  <c r="A102" i="81"/>
  <c r="A19" i="53" s="1"/>
  <c r="A23" i="72"/>
  <c r="A47" s="1"/>
  <c r="A94" s="1"/>
  <c r="D120" i="83"/>
  <c r="F38" i="48"/>
  <c r="F34"/>
  <c r="C31"/>
  <c r="J11"/>
  <c r="C28"/>
  <c r="J8"/>
  <c r="B110" i="83"/>
  <c r="F22"/>
  <c r="H22" s="1"/>
  <c r="D151" i="53"/>
  <c r="D218"/>
  <c r="D198"/>
  <c r="E32" i="48"/>
  <c r="D38" i="83"/>
  <c r="H149" i="84"/>
  <c r="G182"/>
  <c r="G186" s="1"/>
  <c r="E33" i="21" s="1"/>
  <c r="B141" i="55"/>
  <c r="D199" s="1"/>
  <c r="B43" i="81"/>
  <c r="B68"/>
  <c r="D15" i="83"/>
  <c r="D17"/>
  <c r="D19"/>
  <c r="D21"/>
  <c r="C23"/>
  <c r="D37"/>
  <c r="D39"/>
  <c r="F39" s="1"/>
  <c r="H39" s="1"/>
  <c r="D14"/>
  <c r="D20"/>
  <c r="D40"/>
  <c r="F40" s="1"/>
  <c r="H40" s="1"/>
  <c r="D16"/>
  <c r="D18"/>
  <c r="G32" i="57"/>
  <c r="G55"/>
  <c r="B50" i="81"/>
  <c r="B75"/>
  <c r="G47" i="57"/>
  <c r="G12"/>
  <c r="D5" i="62" s="1"/>
  <c r="B98" i="81"/>
  <c r="F20"/>
  <c r="H20" s="1"/>
  <c r="B94"/>
  <c r="F16"/>
  <c r="H16" s="1"/>
  <c r="D17"/>
  <c r="D21"/>
  <c r="D14"/>
  <c r="D18"/>
  <c r="C23"/>
  <c r="D19"/>
  <c r="C32"/>
  <c r="E36" i="48"/>
  <c r="G73" i="57"/>
  <c r="D163" i="53"/>
  <c r="D230"/>
  <c r="A78" l="1"/>
  <c r="A77"/>
  <c r="A148"/>
  <c r="A215" s="1"/>
  <c r="D12" i="29"/>
  <c r="G199" i="55"/>
  <c r="F32" i="48"/>
  <c r="G32"/>
  <c r="C93" i="81"/>
  <c r="A172" i="53"/>
  <c r="F254" i="55"/>
  <c r="D41" i="84"/>
  <c r="D34" i="83"/>
  <c r="D33"/>
  <c r="B121" s="1"/>
  <c r="E163" i="53"/>
  <c r="A88"/>
  <c r="D97" i="29"/>
  <c r="G61"/>
  <c r="G87" i="22"/>
  <c r="D93" i="81"/>
  <c r="D10" i="53"/>
  <c r="D63" s="1"/>
  <c r="D10" i="21"/>
  <c r="G38" i="61"/>
  <c r="A69" i="53"/>
  <c r="E186" i="84"/>
  <c r="C33" i="21" s="1"/>
  <c r="E40" i="81"/>
  <c r="D65"/>
  <c r="C154" i="29"/>
  <c r="C139"/>
  <c r="C124"/>
  <c r="C169"/>
  <c r="C34"/>
  <c r="A135" i="53"/>
  <c r="A202" s="1"/>
  <c r="A67"/>
  <c r="G255" i="55"/>
  <c r="F199"/>
  <c r="F186" i="84"/>
  <c r="D33" i="21" s="1"/>
  <c r="A76" i="53"/>
  <c r="A144"/>
  <c r="A211" s="1"/>
  <c r="A131"/>
  <c r="A198" s="1"/>
  <c r="A63"/>
  <c r="D36" i="83"/>
  <c r="B124" s="1"/>
  <c r="G294" i="55"/>
  <c r="G301" s="1"/>
  <c r="E28" i="21" s="1"/>
  <c r="B18" i="69"/>
  <c r="H97" i="29"/>
  <c r="A98" i="53"/>
  <c r="A164"/>
  <c r="A231" s="1"/>
  <c r="A160"/>
  <c r="A227" s="1"/>
  <c r="A171"/>
  <c r="A238" s="1"/>
  <c r="A102"/>
  <c r="A97"/>
  <c r="A165"/>
  <c r="A232" s="1"/>
  <c r="A93"/>
  <c r="A161"/>
  <c r="A228" s="1"/>
  <c r="A94"/>
  <c r="A162"/>
  <c r="A229" s="1"/>
  <c r="A89"/>
  <c r="A157"/>
  <c r="A224" s="1"/>
  <c r="A174"/>
  <c r="A106"/>
  <c r="A108"/>
  <c r="A176"/>
  <c r="A240" s="1"/>
  <c r="G97" i="29"/>
  <c r="G12"/>
  <c r="F87" i="22"/>
  <c r="G75" i="57"/>
  <c r="D6" i="62" s="1"/>
  <c r="C17" i="68" s="1"/>
  <c r="E87" i="22"/>
  <c r="F12" i="29"/>
  <c r="C61" i="22"/>
  <c r="D62" s="1"/>
  <c r="C55"/>
  <c r="C20" i="68"/>
  <c r="F9" i="62"/>
  <c r="E61" i="29"/>
  <c r="F8" i="62"/>
  <c r="C43" i="21"/>
  <c r="D87" i="22"/>
  <c r="H62"/>
  <c r="C49"/>
  <c r="F7" i="62"/>
  <c r="C18" i="68"/>
  <c r="F45" i="42"/>
  <c r="F47" s="1"/>
  <c r="D20" i="21"/>
  <c r="G51" i="61"/>
  <c r="B69" i="81"/>
  <c r="B44"/>
  <c r="B70" i="83"/>
  <c r="B98"/>
  <c r="E31" i="48"/>
  <c r="F31"/>
  <c r="H31"/>
  <c r="G31"/>
  <c r="G124" i="53"/>
  <c r="F243"/>
  <c r="F265"/>
  <c r="F205"/>
  <c r="F266"/>
  <c r="F268"/>
  <c r="F214"/>
  <c r="F267"/>
  <c r="D36" i="81"/>
  <c r="D35"/>
  <c r="F35" s="1"/>
  <c r="H35" s="1"/>
  <c r="D34"/>
  <c r="D33"/>
  <c r="F14"/>
  <c r="H14" s="1"/>
  <c r="B92"/>
  <c r="M14"/>
  <c r="L14"/>
  <c r="N14"/>
  <c r="J14"/>
  <c r="K14"/>
  <c r="C11" i="53"/>
  <c r="C64" s="1"/>
  <c r="C94" i="81"/>
  <c r="B108" i="83"/>
  <c r="F20"/>
  <c r="H20" s="1"/>
  <c r="D31"/>
  <c r="D24"/>
  <c r="D26"/>
  <c r="D28"/>
  <c r="D30"/>
  <c r="D27"/>
  <c r="D25"/>
  <c r="D29"/>
  <c r="B103"/>
  <c r="F15"/>
  <c r="H15" s="1"/>
  <c r="B126"/>
  <c r="F38"/>
  <c r="H38" s="1"/>
  <c r="C43" i="48"/>
  <c r="B122" i="83"/>
  <c r="F34"/>
  <c r="H34" s="1"/>
  <c r="F219" i="53"/>
  <c r="G28" i="42"/>
  <c r="H17"/>
  <c r="H21" s="1"/>
  <c r="H23" s="1"/>
  <c r="G29"/>
  <c r="G37"/>
  <c r="G43" s="1"/>
  <c r="E30" i="21" s="1"/>
  <c r="G27" i="42"/>
  <c r="H172" i="72"/>
  <c r="H177" s="1"/>
  <c r="F29" i="21" s="1"/>
  <c r="I133" i="72"/>
  <c r="G21" i="42"/>
  <c r="G23" s="1"/>
  <c r="E273" i="53"/>
  <c r="C32" i="21" s="1"/>
  <c r="E151" i="53"/>
  <c r="E218"/>
  <c r="I23" i="48"/>
  <c r="I31" s="1"/>
  <c r="H32"/>
  <c r="H36"/>
  <c r="H29"/>
  <c r="H33"/>
  <c r="H37"/>
  <c r="H44"/>
  <c r="H34"/>
  <c r="H38"/>
  <c r="H52"/>
  <c r="H56" s="1"/>
  <c r="E31" i="21" s="1"/>
  <c r="H30" i="48"/>
  <c r="H35"/>
  <c r="H9" i="42"/>
  <c r="H10" s="1"/>
  <c r="G10"/>
  <c r="I172" i="55"/>
  <c r="H279"/>
  <c r="H294"/>
  <c r="H301" s="1"/>
  <c r="F28" i="21" s="1"/>
  <c r="H255" i="55"/>
  <c r="H280"/>
  <c r="H222"/>
  <c r="J4" i="22"/>
  <c r="I8"/>
  <c r="I12"/>
  <c r="I16"/>
  <c r="I20"/>
  <c r="I9"/>
  <c r="I13"/>
  <c r="I21"/>
  <c r="I14"/>
  <c r="I22"/>
  <c r="I15"/>
  <c r="I11"/>
  <c r="I10"/>
  <c r="I18"/>
  <c r="I19"/>
  <c r="D169" i="29"/>
  <c r="D124"/>
  <c r="D34"/>
  <c r="D154"/>
  <c r="D139"/>
  <c r="F18" i="81"/>
  <c r="H18" s="1"/>
  <c r="B96"/>
  <c r="C37" i="22"/>
  <c r="F5" i="62"/>
  <c r="C16" i="68"/>
  <c r="B125" i="83"/>
  <c r="F37"/>
  <c r="H37" s="1"/>
  <c r="B67" s="1"/>
  <c r="H182" i="84"/>
  <c r="I149"/>
  <c r="H181"/>
  <c r="C41" i="53"/>
  <c r="C94" s="1"/>
  <c r="C110" i="83"/>
  <c r="F19" i="81"/>
  <c r="H19" s="1"/>
  <c r="B97"/>
  <c r="B99"/>
  <c r="F21"/>
  <c r="H21" s="1"/>
  <c r="B48"/>
  <c r="B73"/>
  <c r="B21" i="72"/>
  <c r="B45" s="1"/>
  <c r="C75" i="81"/>
  <c r="B106" i="83"/>
  <c r="F18"/>
  <c r="H18" s="1"/>
  <c r="B102"/>
  <c r="L14"/>
  <c r="F74" s="1"/>
  <c r="F13" i="84" s="1"/>
  <c r="K14" i="83"/>
  <c r="E74" s="1"/>
  <c r="E13" i="84" s="1"/>
  <c r="J14" i="83"/>
  <c r="D74" s="1"/>
  <c r="D13" i="84" s="1"/>
  <c r="F14" i="83"/>
  <c r="H14" s="1"/>
  <c r="N14"/>
  <c r="H74" s="1"/>
  <c r="H13" i="84" s="1"/>
  <c r="M14" i="83"/>
  <c r="G74" s="1"/>
  <c r="G13" i="84" s="1"/>
  <c r="B109" i="83"/>
  <c r="F21"/>
  <c r="H21" s="1"/>
  <c r="B14" i="72"/>
  <c r="B38" s="1"/>
  <c r="C68" i="81"/>
  <c r="E28" i="48"/>
  <c r="E39" s="1"/>
  <c r="H28"/>
  <c r="G28"/>
  <c r="G39" s="1"/>
  <c r="F28"/>
  <c r="E41" i="84"/>
  <c r="F40"/>
  <c r="E30" i="53"/>
  <c r="E83" s="1"/>
  <c r="E113" i="81"/>
  <c r="A94"/>
  <c r="A11" i="53" s="1"/>
  <c r="A15" i="72"/>
  <c r="A39" s="1"/>
  <c r="A65" s="1"/>
  <c r="H254" i="55"/>
  <c r="H223"/>
  <c r="A98" i="81"/>
  <c r="A15" i="53" s="1"/>
  <c r="A19" i="72"/>
  <c r="A43" s="1"/>
  <c r="A80" s="1"/>
  <c r="E199" i="55"/>
  <c r="B105" i="83"/>
  <c r="F17"/>
  <c r="H17" s="1"/>
  <c r="F33"/>
  <c r="H33" s="1"/>
  <c r="D26" i="81"/>
  <c r="D30"/>
  <c r="D27"/>
  <c r="D31"/>
  <c r="D24"/>
  <c r="D29"/>
  <c r="D25"/>
  <c r="D28"/>
  <c r="B95"/>
  <c r="F17"/>
  <c r="H17" s="1"/>
  <c r="C15" i="53"/>
  <c r="C68" s="1"/>
  <c r="C98" i="81"/>
  <c r="B19" i="55"/>
  <c r="B76" s="1"/>
  <c r="C50" i="81"/>
  <c r="B104" i="83"/>
  <c r="F16"/>
  <c r="H16" s="1"/>
  <c r="B69"/>
  <c r="B97"/>
  <c r="B107"/>
  <c r="F19"/>
  <c r="H19" s="1"/>
  <c r="B12" i="55"/>
  <c r="B69" s="1"/>
  <c r="C43" i="81"/>
  <c r="B54" i="83"/>
  <c r="B82"/>
  <c r="B123"/>
  <c r="F35"/>
  <c r="H35" s="1"/>
  <c r="E120"/>
  <c r="E51" i="53"/>
  <c r="E104" s="1"/>
  <c r="F172" s="1"/>
  <c r="A72"/>
  <c r="A140"/>
  <c r="A207" s="1"/>
  <c r="E45" i="42"/>
  <c r="E47" s="1"/>
  <c r="C20" i="21"/>
  <c r="F51" i="61"/>
  <c r="E111" i="83"/>
  <c r="E42" i="53"/>
  <c r="E95" s="1"/>
  <c r="F34" i="72"/>
  <c r="G33"/>
  <c r="A130" i="53"/>
  <c r="A197" s="1"/>
  <c r="A62"/>
  <c r="H221" i="55"/>
  <c r="F36" i="83" l="1"/>
  <c r="H36" s="1"/>
  <c r="E169" i="29"/>
  <c r="E154"/>
  <c r="E124"/>
  <c r="E139"/>
  <c r="E34"/>
  <c r="H186" i="84"/>
  <c r="F33" i="21" s="1"/>
  <c r="G34" i="42"/>
  <c r="G45" s="1"/>
  <c r="G47" s="1"/>
  <c r="E198" i="53"/>
  <c r="E131"/>
  <c r="F40" i="81"/>
  <c r="E65"/>
  <c r="E10" i="53"/>
  <c r="E63" s="1"/>
  <c r="E93" i="81"/>
  <c r="E62" i="22"/>
  <c r="F6" i="62"/>
  <c r="F12" s="1"/>
  <c r="E19" s="1"/>
  <c r="C43" i="22"/>
  <c r="K43" s="1"/>
  <c r="D56"/>
  <c r="F56"/>
  <c r="C56"/>
  <c r="E56"/>
  <c r="H56"/>
  <c r="G56"/>
  <c r="K55"/>
  <c r="I56"/>
  <c r="F62"/>
  <c r="K61"/>
  <c r="K62" s="1"/>
  <c r="K63" s="1"/>
  <c r="I62"/>
  <c r="G62"/>
  <c r="C62"/>
  <c r="C64" s="1"/>
  <c r="D61" s="1"/>
  <c r="D64" s="1"/>
  <c r="E61" s="1"/>
  <c r="E64" s="1"/>
  <c r="F61" s="1"/>
  <c r="F64" s="1"/>
  <c r="G61" s="1"/>
  <c r="C18" i="69"/>
  <c r="D18" s="1"/>
  <c r="E18" s="1"/>
  <c r="F18" s="1"/>
  <c r="G18" s="1"/>
  <c r="H18" s="1"/>
  <c r="E97" i="29"/>
  <c r="E12"/>
  <c r="D61"/>
  <c r="C50" i="22"/>
  <c r="C51" s="1"/>
  <c r="D50"/>
  <c r="H50"/>
  <c r="E50"/>
  <c r="F50"/>
  <c r="I50"/>
  <c r="K49"/>
  <c r="K50" s="1"/>
  <c r="K52" s="1"/>
  <c r="L49" s="1"/>
  <c r="G50"/>
  <c r="I28" i="48"/>
  <c r="B63" i="72"/>
  <c r="D140" s="1"/>
  <c r="D153"/>
  <c r="D75" i="81"/>
  <c r="C21" i="72"/>
  <c r="C45" s="1"/>
  <c r="B49" i="81"/>
  <c r="B74"/>
  <c r="J11" i="22"/>
  <c r="J15"/>
  <c r="J19"/>
  <c r="K4"/>
  <c r="J8"/>
  <c r="J12"/>
  <c r="J16"/>
  <c r="J20"/>
  <c r="J14"/>
  <c r="J22"/>
  <c r="J13"/>
  <c r="J9"/>
  <c r="J10"/>
  <c r="J18"/>
  <c r="J21"/>
  <c r="I172" i="72"/>
  <c r="I177" s="1"/>
  <c r="G29" i="21" s="1"/>
  <c r="J133" i="72"/>
  <c r="B96" i="83"/>
  <c r="B68"/>
  <c r="B117"/>
  <c r="F29"/>
  <c r="H29" s="1"/>
  <c r="B116"/>
  <c r="F28"/>
  <c r="H28" s="1"/>
  <c r="B52"/>
  <c r="B80"/>
  <c r="B110" i="81"/>
  <c r="B111"/>
  <c r="F34"/>
  <c r="H34" s="1"/>
  <c r="B59" i="55"/>
  <c r="B116" s="1"/>
  <c r="C70" i="83"/>
  <c r="B121" i="55"/>
  <c r="D179" s="1"/>
  <c r="D234"/>
  <c r="B58"/>
  <c r="B115" s="1"/>
  <c r="C69" i="83"/>
  <c r="C12" i="53"/>
  <c r="C65" s="1"/>
  <c r="C95" i="81"/>
  <c r="B103"/>
  <c r="F26"/>
  <c r="H26" s="1"/>
  <c r="C55" i="53"/>
  <c r="C108" s="1"/>
  <c r="C124" i="83"/>
  <c r="D68" i="81"/>
  <c r="C14" i="72"/>
  <c r="C38" s="1"/>
  <c r="E44" i="84"/>
  <c r="B47" i="81"/>
  <c r="B72"/>
  <c r="E10" i="21"/>
  <c r="H38" i="61"/>
  <c r="B51" i="83"/>
  <c r="B79"/>
  <c r="F113" i="81"/>
  <c r="F30" i="53"/>
  <c r="F83" s="1"/>
  <c r="F163"/>
  <c r="F230"/>
  <c r="F120" i="83"/>
  <c r="F51" i="53"/>
  <c r="F104" s="1"/>
  <c r="G172" s="1"/>
  <c r="C54"/>
  <c r="C107" s="1"/>
  <c r="C123" i="83"/>
  <c r="C38" i="53"/>
  <c r="C91" s="1"/>
  <c r="C107" i="83"/>
  <c r="C35" i="53"/>
  <c r="C88" s="1"/>
  <c r="C104" i="83"/>
  <c r="D203" i="53"/>
  <c r="D136"/>
  <c r="B102" i="81"/>
  <c r="F25"/>
  <c r="H25" s="1"/>
  <c r="B104"/>
  <c r="F27"/>
  <c r="H27" s="1"/>
  <c r="C52" i="53"/>
  <c r="C105" s="1"/>
  <c r="D173" s="1"/>
  <c r="C121" i="83"/>
  <c r="A68" i="53"/>
  <c r="A136"/>
  <c r="A203" s="1"/>
  <c r="F151"/>
  <c r="F218"/>
  <c r="H39" i="48"/>
  <c r="B81" i="83"/>
  <c r="B53"/>
  <c r="B46"/>
  <c r="B74"/>
  <c r="B13" i="84" s="1"/>
  <c r="C33" i="53"/>
  <c r="C86" s="1"/>
  <c r="C102" i="83"/>
  <c r="C16" i="53"/>
  <c r="C69" s="1"/>
  <c r="C99" i="81"/>
  <c r="J149" i="84"/>
  <c r="I182"/>
  <c r="I181"/>
  <c r="B95" i="83"/>
  <c r="F38" i="22"/>
  <c r="I38"/>
  <c r="C38"/>
  <c r="C39" s="1"/>
  <c r="E38"/>
  <c r="K37"/>
  <c r="G38"/>
  <c r="D38"/>
  <c r="H38"/>
  <c r="J172" i="55"/>
  <c r="I255"/>
  <c r="I280"/>
  <c r="I294"/>
  <c r="I301" s="1"/>
  <c r="G28" i="21" s="1"/>
  <c r="I222" i="55"/>
  <c r="I279"/>
  <c r="I254"/>
  <c r="I199"/>
  <c r="I223"/>
  <c r="I221"/>
  <c r="B92" i="83"/>
  <c r="B64"/>
  <c r="C64" s="1"/>
  <c r="D64" s="1"/>
  <c r="E64" s="1"/>
  <c r="F64" s="1"/>
  <c r="C57" i="53"/>
  <c r="C110" s="1"/>
  <c r="C126" i="83"/>
  <c r="B113"/>
  <c r="F25"/>
  <c r="H25" s="1"/>
  <c r="B114"/>
  <c r="F26"/>
  <c r="H26" s="1"/>
  <c r="C39" i="53"/>
  <c r="C92" s="1"/>
  <c r="C108" i="83"/>
  <c r="C9" i="53"/>
  <c r="C62" s="1"/>
  <c r="C92" i="81"/>
  <c r="B61"/>
  <c r="B86"/>
  <c r="C86" s="1"/>
  <c r="D86" s="1"/>
  <c r="F273" i="53"/>
  <c r="D32" i="21" s="1"/>
  <c r="B13" i="55"/>
  <c r="B70" s="1"/>
  <c r="C44" i="81"/>
  <c r="G34" i="72"/>
  <c r="H33"/>
  <c r="H34" s="1"/>
  <c r="B43" i="55"/>
  <c r="B100" s="1"/>
  <c r="C54" i="83"/>
  <c r="B128" i="55"/>
  <c r="D186" s="1"/>
  <c r="D241"/>
  <c r="B101" i="81"/>
  <c r="F24"/>
  <c r="H24" s="1"/>
  <c r="C36" i="53"/>
  <c r="C89" s="1"/>
  <c r="C105" i="83"/>
  <c r="F10" i="21"/>
  <c r="I38" i="61"/>
  <c r="D11" i="21"/>
  <c r="G35" i="61"/>
  <c r="C37" i="53"/>
  <c r="C90" s="1"/>
  <c r="C106" i="83"/>
  <c r="B17" i="55"/>
  <c r="B74" s="1"/>
  <c r="C48" i="81"/>
  <c r="D229" i="53"/>
  <c r="D162"/>
  <c r="B46" i="81"/>
  <c r="B71"/>
  <c r="I35" i="48"/>
  <c r="I52"/>
  <c r="I56" s="1"/>
  <c r="F31" i="21" s="1"/>
  <c r="J23" i="48"/>
  <c r="J43" s="1"/>
  <c r="I32"/>
  <c r="I36"/>
  <c r="I34"/>
  <c r="I29"/>
  <c r="I37"/>
  <c r="I44"/>
  <c r="I30"/>
  <c r="I33"/>
  <c r="I38"/>
  <c r="E43"/>
  <c r="E49" s="1"/>
  <c r="H43"/>
  <c r="H49" s="1"/>
  <c r="I43"/>
  <c r="F43"/>
  <c r="F49" s="1"/>
  <c r="G43"/>
  <c r="G49" s="1"/>
  <c r="C34" i="53"/>
  <c r="C87" s="1"/>
  <c r="C103" i="83"/>
  <c r="B118"/>
  <c r="F30"/>
  <c r="H30" s="1"/>
  <c r="B119"/>
  <c r="F31"/>
  <c r="H31" s="1"/>
  <c r="D132" i="53"/>
  <c r="D199"/>
  <c r="F33" i="81"/>
  <c r="H33" s="1"/>
  <c r="B109"/>
  <c r="C109" s="1"/>
  <c r="D109" s="1"/>
  <c r="E109" s="1"/>
  <c r="F109" s="1"/>
  <c r="G109" s="1"/>
  <c r="H109" s="1"/>
  <c r="H124" i="53"/>
  <c r="G219"/>
  <c r="G205"/>
  <c r="G268"/>
  <c r="G265"/>
  <c r="G267"/>
  <c r="G214"/>
  <c r="G243"/>
  <c r="G266"/>
  <c r="G152"/>
  <c r="C98" i="83"/>
  <c r="B37" i="84"/>
  <c r="B65" s="1"/>
  <c r="B93" i="83"/>
  <c r="B65"/>
  <c r="C65" s="1"/>
  <c r="D65" s="1"/>
  <c r="E65" s="1"/>
  <c r="F65" s="1"/>
  <c r="B48"/>
  <c r="B76"/>
  <c r="D98" i="81"/>
  <c r="D15" i="53"/>
  <c r="D68" s="1"/>
  <c r="B105" i="81"/>
  <c r="F28"/>
  <c r="H28" s="1"/>
  <c r="B108"/>
  <c r="F31"/>
  <c r="H31" s="1"/>
  <c r="B91" i="83"/>
  <c r="B63"/>
  <c r="G40" i="84"/>
  <c r="F41"/>
  <c r="F44" s="1"/>
  <c r="F111" i="83"/>
  <c r="F42" i="53"/>
  <c r="F95" s="1"/>
  <c r="B21" i="84"/>
  <c r="B52" s="1"/>
  <c r="C82" i="83"/>
  <c r="D43" i="81"/>
  <c r="C12" i="55"/>
  <c r="C69" s="1"/>
  <c r="B36" i="84"/>
  <c r="B64" s="1"/>
  <c r="C97" i="83"/>
  <c r="D50" i="81"/>
  <c r="C19" i="55"/>
  <c r="C76" s="1"/>
  <c r="B45" i="81"/>
  <c r="B70"/>
  <c r="B106"/>
  <c r="F29"/>
  <c r="H29" s="1"/>
  <c r="B107"/>
  <c r="F30"/>
  <c r="H30" s="1"/>
  <c r="B77" i="83"/>
  <c r="B49"/>
  <c r="A64" i="53"/>
  <c r="A132"/>
  <c r="A199" s="1"/>
  <c r="B94" i="83"/>
  <c r="B66"/>
  <c r="C66" s="1"/>
  <c r="D66" s="1"/>
  <c r="E66" s="1"/>
  <c r="F66" s="1"/>
  <c r="F39" i="48"/>
  <c r="E35" i="61"/>
  <c r="B11" i="21"/>
  <c r="C40" i="53"/>
  <c r="C93" s="1"/>
  <c r="C109" i="83"/>
  <c r="D44" i="84"/>
  <c r="B50" i="83"/>
  <c r="B78"/>
  <c r="B19" i="72"/>
  <c r="B43" s="1"/>
  <c r="C73" i="81"/>
  <c r="C14" i="53"/>
  <c r="C67" s="1"/>
  <c r="C97" i="81"/>
  <c r="D110" i="83"/>
  <c r="D41" i="53"/>
  <c r="D94" s="1"/>
  <c r="C56"/>
  <c r="C109" s="1"/>
  <c r="C125" i="83"/>
  <c r="C13" i="53"/>
  <c r="C66" s="1"/>
  <c r="C96" i="81"/>
  <c r="H27" i="42"/>
  <c r="H37"/>
  <c r="H43" s="1"/>
  <c r="F30" i="21" s="1"/>
  <c r="H28" i="42"/>
  <c r="H29"/>
  <c r="I17"/>
  <c r="C53" i="53"/>
  <c r="C106" s="1"/>
  <c r="D174" s="1"/>
  <c r="C122" i="83"/>
  <c r="B47"/>
  <c r="B75"/>
  <c r="B115"/>
  <c r="F27"/>
  <c r="H27" s="1"/>
  <c r="B112"/>
  <c r="F24"/>
  <c r="H24" s="1"/>
  <c r="D94" i="81"/>
  <c r="D11" i="53"/>
  <c r="D64" s="1"/>
  <c r="B42" i="81"/>
  <c r="B67"/>
  <c r="B112"/>
  <c r="F36"/>
  <c r="H36" s="1"/>
  <c r="K64" i="22"/>
  <c r="L61" s="1"/>
  <c r="B15" i="72"/>
  <c r="B39" s="1"/>
  <c r="C69" i="81"/>
  <c r="E86" l="1"/>
  <c r="H51" i="61"/>
  <c r="E20" i="21"/>
  <c r="E44" i="22"/>
  <c r="E66" s="1"/>
  <c r="F65" i="81"/>
  <c r="G40"/>
  <c r="F86"/>
  <c r="F198" i="53"/>
  <c r="F131"/>
  <c r="F93" i="81"/>
  <c r="F10" i="53"/>
  <c r="F63" s="1"/>
  <c r="C63" i="22"/>
  <c r="D63" s="1"/>
  <c r="E63" s="1"/>
  <c r="F63" s="1"/>
  <c r="G63" s="1"/>
  <c r="H63" s="1"/>
  <c r="I63" s="1"/>
  <c r="C65"/>
  <c r="B13" i="69" s="1"/>
  <c r="F44" i="22"/>
  <c r="F66" s="1"/>
  <c r="C44"/>
  <c r="C46" s="1"/>
  <c r="D43" s="1"/>
  <c r="H44"/>
  <c r="H66" s="1"/>
  <c r="G14" i="69" s="1"/>
  <c r="G44" i="22"/>
  <c r="G66" s="1"/>
  <c r="D44"/>
  <c r="D66" s="1"/>
  <c r="C14" i="69" s="1"/>
  <c r="I44" i="22"/>
  <c r="I66" s="1"/>
  <c r="I186" i="84"/>
  <c r="G33" i="21" s="1"/>
  <c r="K56" i="22"/>
  <c r="K57" s="1"/>
  <c r="C58"/>
  <c r="D55" s="1"/>
  <c r="D58" s="1"/>
  <c r="E55" s="1"/>
  <c r="E58" s="1"/>
  <c r="F55" s="1"/>
  <c r="F58" s="1"/>
  <c r="G55" s="1"/>
  <c r="G58" s="1"/>
  <c r="H55" s="1"/>
  <c r="H58" s="1"/>
  <c r="I55" s="1"/>
  <c r="I58" s="1"/>
  <c r="C57"/>
  <c r="D57" s="1"/>
  <c r="E57" s="1"/>
  <c r="F57" s="1"/>
  <c r="G57" s="1"/>
  <c r="H57" s="1"/>
  <c r="I57" s="1"/>
  <c r="G64"/>
  <c r="H61" s="1"/>
  <c r="H64" s="1"/>
  <c r="I61" s="1"/>
  <c r="I64" s="1"/>
  <c r="C52"/>
  <c r="D49" s="1"/>
  <c r="D52" s="1"/>
  <c r="E49" s="1"/>
  <c r="K51"/>
  <c r="C40"/>
  <c r="D37" s="1"/>
  <c r="D40" s="1"/>
  <c r="E37" s="1"/>
  <c r="E40" s="1"/>
  <c r="F37" s="1"/>
  <c r="F40" s="1"/>
  <c r="G37" s="1"/>
  <c r="G40" s="1"/>
  <c r="H37" s="1"/>
  <c r="H40" s="1"/>
  <c r="I37" s="1"/>
  <c r="I40" s="1"/>
  <c r="D51"/>
  <c r="E51" s="1"/>
  <c r="F51" s="1"/>
  <c r="B62" i="81"/>
  <c r="B87"/>
  <c r="C87" s="1"/>
  <c r="D87" s="1"/>
  <c r="E87" s="1"/>
  <c r="F87" s="1"/>
  <c r="D122" i="83"/>
  <c r="D53" i="53"/>
  <c r="D106" s="1"/>
  <c r="E174" s="1"/>
  <c r="G163"/>
  <c r="G230"/>
  <c r="B15" i="55"/>
  <c r="B72" s="1"/>
  <c r="C46" i="81"/>
  <c r="D57" i="53"/>
  <c r="D110" s="1"/>
  <c r="D126" i="83"/>
  <c r="J182" i="84"/>
  <c r="J181"/>
  <c r="B20"/>
  <c r="B51" s="1"/>
  <c r="C81" i="83"/>
  <c r="D121"/>
  <c r="D52" i="53"/>
  <c r="D105" s="1"/>
  <c r="E173" s="1"/>
  <c r="G218"/>
  <c r="G151"/>
  <c r="D278" i="55"/>
  <c r="B168"/>
  <c r="D227" s="1"/>
  <c r="E229" i="53"/>
  <c r="E162"/>
  <c r="C24"/>
  <c r="C77" s="1"/>
  <c r="C107" i="81"/>
  <c r="B14" i="55"/>
  <c r="B71" s="1"/>
  <c r="C45" i="81"/>
  <c r="G111" i="83"/>
  <c r="G42" i="53"/>
  <c r="G95" s="1"/>
  <c r="C91" i="83"/>
  <c r="B30" i="84"/>
  <c r="B61" s="1"/>
  <c r="C22" i="53"/>
  <c r="C75" s="1"/>
  <c r="C105" i="81"/>
  <c r="B37" i="55"/>
  <c r="B94" s="1"/>
  <c r="C48" i="83"/>
  <c r="D98"/>
  <c r="C37" i="84"/>
  <c r="C65" s="1"/>
  <c r="B84" i="81"/>
  <c r="B59"/>
  <c r="B62" i="83"/>
  <c r="B90"/>
  <c r="D103"/>
  <c r="D34" i="53"/>
  <c r="D87" s="1"/>
  <c r="F57" i="48"/>
  <c r="F59" s="1"/>
  <c r="F48" i="61"/>
  <c r="C21" i="21"/>
  <c r="E48" i="61"/>
  <c r="E57" i="48"/>
  <c r="E59" s="1"/>
  <c r="B21" i="21"/>
  <c r="D106" i="83"/>
  <c r="D37" i="53"/>
  <c r="D90" s="1"/>
  <c r="G169" i="29"/>
  <c r="G34"/>
  <c r="G154"/>
  <c r="G139"/>
  <c r="G124"/>
  <c r="B51" i="81"/>
  <c r="B76"/>
  <c r="C43" i="55"/>
  <c r="C100" s="1"/>
  <c r="D54" i="83"/>
  <c r="D130" i="53"/>
  <c r="D197"/>
  <c r="C45"/>
  <c r="C98" s="1"/>
  <c r="C114" i="83"/>
  <c r="D242" i="53"/>
  <c r="D178"/>
  <c r="K38" i="22"/>
  <c r="K39" s="1"/>
  <c r="D99" i="81"/>
  <c r="D16" i="53"/>
  <c r="D69" s="1"/>
  <c r="B44" i="84"/>
  <c r="E11" i="21"/>
  <c r="H35" i="61"/>
  <c r="C19" i="53"/>
  <c r="C72" s="1"/>
  <c r="C102" i="81"/>
  <c r="D223" i="53"/>
  <c r="D156"/>
  <c r="G120" i="83"/>
  <c r="G51" i="53"/>
  <c r="G104" s="1"/>
  <c r="H172" s="1"/>
  <c r="G30"/>
  <c r="G83" s="1"/>
  <c r="G113" i="81"/>
  <c r="B40" i="55"/>
  <c r="B97" s="1"/>
  <c r="C51" i="83"/>
  <c r="F169" i="29"/>
  <c r="F154"/>
  <c r="F139"/>
  <c r="F124"/>
  <c r="F34"/>
  <c r="B18" i="72"/>
  <c r="B42" s="1"/>
  <c r="C72" i="81"/>
  <c r="C63" i="72"/>
  <c r="E140" s="1"/>
  <c r="E153"/>
  <c r="B78" i="81"/>
  <c r="B53"/>
  <c r="D69" i="83"/>
  <c r="C58" i="55"/>
  <c r="C115" s="1"/>
  <c r="C27" i="53"/>
  <c r="C80" s="1"/>
  <c r="C110" i="81"/>
  <c r="C47" i="53"/>
  <c r="C100" s="1"/>
  <c r="C116" i="83"/>
  <c r="B35" i="84"/>
  <c r="B63" s="1"/>
  <c r="C96" i="83"/>
  <c r="K10" i="22"/>
  <c r="K14"/>
  <c r="K18"/>
  <c r="K22"/>
  <c r="K11"/>
  <c r="K15"/>
  <c r="K19"/>
  <c r="K13"/>
  <c r="K21"/>
  <c r="K20"/>
  <c r="K8"/>
  <c r="K16"/>
  <c r="K12"/>
  <c r="K9"/>
  <c r="C9" i="68"/>
  <c r="B34" i="69"/>
  <c r="C34" s="1"/>
  <c r="D34" s="1"/>
  <c r="E34" s="1"/>
  <c r="F34" s="1"/>
  <c r="G34" s="1"/>
  <c r="H34" s="1"/>
  <c r="D21" i="72"/>
  <c r="D45" s="1"/>
  <c r="E75" i="81"/>
  <c r="B58" i="83"/>
  <c r="B86"/>
  <c r="D135" i="53"/>
  <c r="D202"/>
  <c r="B39" i="55"/>
  <c r="B96" s="1"/>
  <c r="C50" i="83"/>
  <c r="C11" i="21"/>
  <c r="F35" i="61"/>
  <c r="B16" i="72"/>
  <c r="B40" s="1"/>
  <c r="C70" i="81"/>
  <c r="D97" i="83"/>
  <c r="C36" i="84"/>
  <c r="C64" s="1"/>
  <c r="B55" i="81"/>
  <c r="B80"/>
  <c r="B15" i="84"/>
  <c r="B46" s="1"/>
  <c r="C76" i="83"/>
  <c r="D224" i="53"/>
  <c r="D157"/>
  <c r="B122" i="55"/>
  <c r="D180" s="1"/>
  <c r="D235"/>
  <c r="D92" i="81"/>
  <c r="D9" i="53"/>
  <c r="D62" s="1"/>
  <c r="J255" i="55"/>
  <c r="J280"/>
  <c r="J294"/>
  <c r="J301" s="1"/>
  <c r="H28" i="21" s="1"/>
  <c r="J221" i="55"/>
  <c r="J279"/>
  <c r="J254"/>
  <c r="J222"/>
  <c r="J199"/>
  <c r="J223"/>
  <c r="D154" i="53"/>
  <c r="D221"/>
  <c r="C28"/>
  <c r="C81" s="1"/>
  <c r="C111" i="81"/>
  <c r="I39" i="48"/>
  <c r="C29" i="53"/>
  <c r="C82" s="1"/>
  <c r="C112" i="81"/>
  <c r="D13" i="53"/>
  <c r="D66" s="1"/>
  <c r="D96" i="81"/>
  <c r="C19" i="72"/>
  <c r="C43" s="1"/>
  <c r="D73" i="81"/>
  <c r="C125" i="29"/>
  <c r="C35"/>
  <c r="C170"/>
  <c r="C155"/>
  <c r="C140"/>
  <c r="B64" i="72"/>
  <c r="D144" s="1"/>
  <c r="B65"/>
  <c r="B13"/>
  <c r="C67" i="81"/>
  <c r="B55" i="83"/>
  <c r="B83"/>
  <c r="C75"/>
  <c r="B14" i="84"/>
  <c r="B45" s="1"/>
  <c r="I27" i="42"/>
  <c r="I37"/>
  <c r="I43" s="1"/>
  <c r="G30" i="21" s="1"/>
  <c r="J17" i="42"/>
  <c r="I29"/>
  <c r="I28"/>
  <c r="H34"/>
  <c r="D134" i="53"/>
  <c r="D201"/>
  <c r="E110" i="83"/>
  <c r="E41" i="53"/>
  <c r="E94" s="1"/>
  <c r="B33" i="84"/>
  <c r="C94" i="83"/>
  <c r="B38" i="55"/>
  <c r="B95" s="1"/>
  <c r="C49" i="83"/>
  <c r="B56" i="81"/>
  <c r="B81"/>
  <c r="E241" i="55"/>
  <c r="C128"/>
  <c r="E186" s="1"/>
  <c r="E234"/>
  <c r="C121"/>
  <c r="E179" s="1"/>
  <c r="B58" i="81"/>
  <c r="B83"/>
  <c r="E136" i="53"/>
  <c r="E203"/>
  <c r="G65" i="83"/>
  <c r="H65" s="1"/>
  <c r="C50" i="53"/>
  <c r="C103" s="1"/>
  <c r="C119" i="83"/>
  <c r="D222" i="53"/>
  <c r="D155"/>
  <c r="J30" i="48"/>
  <c r="J34"/>
  <c r="J38"/>
  <c r="J35"/>
  <c r="J52"/>
  <c r="J56" s="1"/>
  <c r="G31" i="21" s="1"/>
  <c r="J29" i="48"/>
  <c r="J37"/>
  <c r="K23"/>
  <c r="J32"/>
  <c r="J33"/>
  <c r="J36"/>
  <c r="J44"/>
  <c r="J49" s="1"/>
  <c r="J28"/>
  <c r="J31"/>
  <c r="D158" i="53"/>
  <c r="D225"/>
  <c r="E170" i="29"/>
  <c r="E155"/>
  <c r="E140"/>
  <c r="E125"/>
  <c r="E35"/>
  <c r="C18" i="53"/>
  <c r="C71" s="1"/>
  <c r="C101" i="81"/>
  <c r="B152" i="55"/>
  <c r="D211" s="1"/>
  <c r="D265"/>
  <c r="D108" i="83"/>
  <c r="D39" i="53"/>
  <c r="D92" s="1"/>
  <c r="B56" i="83"/>
  <c r="B84"/>
  <c r="G64"/>
  <c r="B34" i="84"/>
  <c r="B62" s="1"/>
  <c r="C95" i="83"/>
  <c r="D137" i="53"/>
  <c r="D204"/>
  <c r="B35" i="55"/>
  <c r="C46" i="83"/>
  <c r="K44" i="22"/>
  <c r="K46" s="1"/>
  <c r="K65"/>
  <c r="B79" i="81"/>
  <c r="B54"/>
  <c r="D107" i="83"/>
  <c r="D38" i="53"/>
  <c r="D91" s="1"/>
  <c r="D123" i="83"/>
  <c r="D54" i="53"/>
  <c r="D107" s="1"/>
  <c r="B16" i="55"/>
  <c r="B73" s="1"/>
  <c r="C47" i="81"/>
  <c r="E68"/>
  <c r="D14" i="72"/>
  <c r="D38" s="1"/>
  <c r="C20" i="53"/>
  <c r="C73" s="1"/>
  <c r="C103" i="81"/>
  <c r="D277" i="55"/>
  <c r="B167"/>
  <c r="D226" s="1"/>
  <c r="B19" i="84"/>
  <c r="B50" s="1"/>
  <c r="C80" i="83"/>
  <c r="B60"/>
  <c r="B88"/>
  <c r="J172" i="72"/>
  <c r="J177" s="1"/>
  <c r="H29" i="21" s="1"/>
  <c r="B20" i="72"/>
  <c r="B44" s="1"/>
  <c r="C74" i="81"/>
  <c r="E199" i="53"/>
  <c r="E132"/>
  <c r="D177"/>
  <c r="D241"/>
  <c r="D228"/>
  <c r="D161"/>
  <c r="B82" i="81"/>
  <c r="B57"/>
  <c r="D82" i="83"/>
  <c r="C21" i="84"/>
  <c r="C52" s="1"/>
  <c r="B52" i="55"/>
  <c r="B109" s="1"/>
  <c r="C63" i="83"/>
  <c r="C49" i="53"/>
  <c r="C102" s="1"/>
  <c r="C118" i="83"/>
  <c r="H57" i="48"/>
  <c r="H59" s="1"/>
  <c r="E21" i="21"/>
  <c r="H48" i="61"/>
  <c r="B126" i="55"/>
  <c r="D184" s="1"/>
  <c r="D239"/>
  <c r="B85" i="83"/>
  <c r="B57"/>
  <c r="B52" i="81"/>
  <c r="B77"/>
  <c r="D104" i="83"/>
  <c r="D35" i="53"/>
  <c r="D88" s="1"/>
  <c r="C79" i="83"/>
  <c r="B18" i="84"/>
  <c r="B49" s="1"/>
  <c r="D176" i="53"/>
  <c r="D240"/>
  <c r="D133"/>
  <c r="D200"/>
  <c r="B59" i="83"/>
  <c r="B87"/>
  <c r="B57" i="55"/>
  <c r="B114" s="1"/>
  <c r="C68" i="83"/>
  <c r="D69" i="81"/>
  <c r="C15" i="72"/>
  <c r="C39" s="1"/>
  <c r="E11" i="53"/>
  <c r="E64" s="1"/>
  <c r="E94" i="81"/>
  <c r="C46" i="53"/>
  <c r="C99" s="1"/>
  <c r="C115" i="83"/>
  <c r="G66"/>
  <c r="H66" s="1"/>
  <c r="L62" i="22"/>
  <c r="L63" s="1"/>
  <c r="B11" i="55"/>
  <c r="C42" i="81"/>
  <c r="C43" i="53"/>
  <c r="C96" s="1"/>
  <c r="C112" i="83"/>
  <c r="B36" i="55"/>
  <c r="B93" s="1"/>
  <c r="C47" i="83"/>
  <c r="I21" i="42"/>
  <c r="I23" s="1"/>
  <c r="D125" i="83"/>
  <c r="D56" i="53"/>
  <c r="D109" s="1"/>
  <c r="D97" i="81"/>
  <c r="D14" i="53"/>
  <c r="D67" s="1"/>
  <c r="C78" i="83"/>
  <c r="B17" i="84"/>
  <c r="B48" s="1"/>
  <c r="D109" i="83"/>
  <c r="D40" i="53"/>
  <c r="D93" s="1"/>
  <c r="B16" i="84"/>
  <c r="B47" s="1"/>
  <c r="C77" i="83"/>
  <c r="C23" i="53"/>
  <c r="C76" s="1"/>
  <c r="C106" i="81"/>
  <c r="E50"/>
  <c r="D19" i="55"/>
  <c r="D76" s="1"/>
  <c r="D12"/>
  <c r="D69" s="1"/>
  <c r="E43" i="81"/>
  <c r="G41" i="84"/>
  <c r="G44" s="1"/>
  <c r="H40"/>
  <c r="H41" s="1"/>
  <c r="H44" s="1"/>
  <c r="C25" i="53"/>
  <c r="C78" s="1"/>
  <c r="C108" i="81"/>
  <c r="E15" i="53"/>
  <c r="E68" s="1"/>
  <c r="E98" i="81"/>
  <c r="B32" i="84"/>
  <c r="C93" i="83"/>
  <c r="G273" i="53"/>
  <c r="E32" i="21" s="1"/>
  <c r="H265" i="53"/>
  <c r="H243"/>
  <c r="H266"/>
  <c r="I124"/>
  <c r="H205"/>
  <c r="H267"/>
  <c r="H152"/>
  <c r="H268"/>
  <c r="H214"/>
  <c r="H219"/>
  <c r="B89" i="83"/>
  <c r="B61"/>
  <c r="G57" i="48"/>
  <c r="G59" s="1"/>
  <c r="D21" i="21"/>
  <c r="G48" i="61"/>
  <c r="I49" i="48"/>
  <c r="B17" i="72"/>
  <c r="B41" s="1"/>
  <c r="C71" i="81"/>
  <c r="C17" i="55"/>
  <c r="C74" s="1"/>
  <c r="D48" i="81"/>
  <c r="D105" i="83"/>
  <c r="D36" i="53"/>
  <c r="D89" s="1"/>
  <c r="D44" i="81"/>
  <c r="C13" i="55"/>
  <c r="C70" s="1"/>
  <c r="B30"/>
  <c r="B87" s="1"/>
  <c r="C61" i="81"/>
  <c r="D160" i="53"/>
  <c r="D227"/>
  <c r="C44"/>
  <c r="C97" s="1"/>
  <c r="C113" i="83"/>
  <c r="B31" i="84"/>
  <c r="C92" i="83"/>
  <c r="D39" i="22"/>
  <c r="E39" s="1"/>
  <c r="F39" s="1"/>
  <c r="G39" s="1"/>
  <c r="H39" s="1"/>
  <c r="I39" s="1"/>
  <c r="B56" i="55"/>
  <c r="B113" s="1"/>
  <c r="C67" i="83"/>
  <c r="D102"/>
  <c r="D33" i="53"/>
  <c r="D86" s="1"/>
  <c r="B42" i="55"/>
  <c r="B99" s="1"/>
  <c r="C53" i="83"/>
  <c r="C21" i="53"/>
  <c r="C74" s="1"/>
  <c r="C104" i="81"/>
  <c r="D226" i="53"/>
  <c r="D159"/>
  <c r="D239"/>
  <c r="D175"/>
  <c r="D124" i="83"/>
  <c r="D55" i="53"/>
  <c r="D108" s="1"/>
  <c r="D95" i="81"/>
  <c r="D12" i="53"/>
  <c r="D65" s="1"/>
  <c r="D70" i="83"/>
  <c r="C59" i="55"/>
  <c r="C116" s="1"/>
  <c r="B60" i="81"/>
  <c r="B85"/>
  <c r="B41" i="55"/>
  <c r="B98" s="1"/>
  <c r="C52" i="83"/>
  <c r="C48" i="53"/>
  <c r="C101" s="1"/>
  <c r="C117" i="83"/>
  <c r="B18" i="55"/>
  <c r="B75" s="1"/>
  <c r="C49" i="81"/>
  <c r="L50" i="22"/>
  <c r="L52" s="1"/>
  <c r="K58" l="1"/>
  <c r="L55" s="1"/>
  <c r="C132" i="83"/>
  <c r="D285" i="55"/>
  <c r="D284"/>
  <c r="J186" i="84"/>
  <c r="H33" i="21" s="1"/>
  <c r="G93" i="81"/>
  <c r="G10" i="53"/>
  <c r="G63" s="1"/>
  <c r="G131"/>
  <c r="G198"/>
  <c r="G65" i="81"/>
  <c r="G87" s="1"/>
  <c r="H40"/>
  <c r="H65" s="1"/>
  <c r="I34" i="42"/>
  <c r="G20" i="21" s="1"/>
  <c r="C45" i="22"/>
  <c r="C42" i="21"/>
  <c r="E96" i="29" s="1"/>
  <c r="C66" i="22"/>
  <c r="B14" i="69" s="1"/>
  <c r="B15" s="1"/>
  <c r="L51" i="22"/>
  <c r="L56"/>
  <c r="L57" s="1"/>
  <c r="L58"/>
  <c r="M55" s="1"/>
  <c r="M56" s="1"/>
  <c r="M57" s="1"/>
  <c r="G42" i="21"/>
  <c r="I96" i="29" s="1"/>
  <c r="C68" i="22"/>
  <c r="E17" s="1"/>
  <c r="C116" i="53"/>
  <c r="D247" s="1"/>
  <c r="C115"/>
  <c r="D183" s="1"/>
  <c r="J57" i="48"/>
  <c r="G21" i="21"/>
  <c r="J48" i="61"/>
  <c r="D184" i="53"/>
  <c r="B29" i="55"/>
  <c r="B86" s="1"/>
  <c r="C60" i="81"/>
  <c r="D45" i="22"/>
  <c r="C67"/>
  <c r="B50" i="55"/>
  <c r="B107" s="1"/>
  <c r="C61" i="83"/>
  <c r="F136" i="53"/>
  <c r="F203"/>
  <c r="C17" i="84"/>
  <c r="C48" s="1"/>
  <c r="D78" i="83"/>
  <c r="D234" i="53"/>
  <c r="D167"/>
  <c r="B48" i="55"/>
  <c r="B105" s="1"/>
  <c r="C59" i="83"/>
  <c r="B46" i="55"/>
  <c r="B103" s="1"/>
  <c r="C57" i="83"/>
  <c r="E107"/>
  <c r="E38" i="53"/>
  <c r="E91" s="1"/>
  <c r="D95" i="83"/>
  <c r="C34" i="84"/>
  <c r="C62" s="1"/>
  <c r="J51" i="61"/>
  <c r="E96" i="81"/>
  <c r="E13" i="53"/>
  <c r="E66" s="1"/>
  <c r="E197"/>
  <c r="E130"/>
  <c r="D170" i="29"/>
  <c r="D140"/>
  <c r="D155"/>
  <c r="D125"/>
  <c r="D35"/>
  <c r="B22" i="55"/>
  <c r="B79" s="1"/>
  <c r="C53" i="81"/>
  <c r="C18" i="72"/>
  <c r="C42" s="1"/>
  <c r="D72" i="81"/>
  <c r="D262" i="55"/>
  <c r="B149"/>
  <c r="D208" s="1"/>
  <c r="H51" i="53"/>
  <c r="H104" s="1"/>
  <c r="I172" s="1"/>
  <c r="H120" i="83"/>
  <c r="I51" i="53" s="1"/>
  <c r="I104" s="1"/>
  <c r="D114" i="83"/>
  <c r="D45" i="53"/>
  <c r="D98" s="1"/>
  <c r="B20" i="55"/>
  <c r="B77" s="1"/>
  <c r="C51" i="81"/>
  <c r="B29" i="84"/>
  <c r="B60" s="1"/>
  <c r="C90" i="83"/>
  <c r="D22" i="53"/>
  <c r="D75" s="1"/>
  <c r="D105" i="81"/>
  <c r="H230" i="53"/>
  <c r="H163"/>
  <c r="D107" i="81"/>
  <c r="D24" i="53"/>
  <c r="D77" s="1"/>
  <c r="E126" i="83"/>
  <c r="E57" i="53"/>
  <c r="E110" s="1"/>
  <c r="M49" i="22"/>
  <c r="D142" i="53"/>
  <c r="D209"/>
  <c r="E235" i="55"/>
  <c r="C122"/>
  <c r="E180" s="1"/>
  <c r="F50" i="81"/>
  <c r="E19" i="55"/>
  <c r="E76" s="1"/>
  <c r="E56" i="53"/>
  <c r="E109" s="1"/>
  <c r="E125" i="83"/>
  <c r="E82"/>
  <c r="D21" i="84"/>
  <c r="D52" s="1"/>
  <c r="B49" i="55"/>
  <c r="B106" s="1"/>
  <c r="C60" i="83"/>
  <c r="E14" i="72"/>
  <c r="E38" s="1"/>
  <c r="F68" i="81"/>
  <c r="L43" i="22"/>
  <c r="B45" i="55"/>
  <c r="B102" s="1"/>
  <c r="C56" i="83"/>
  <c r="B27" i="55"/>
  <c r="B84" s="1"/>
  <c r="C58" i="81"/>
  <c r="F41" i="53"/>
  <c r="F94" s="1"/>
  <c r="F110" i="83"/>
  <c r="B44" i="55"/>
  <c r="B101" s="1"/>
  <c r="C55" i="83"/>
  <c r="E97"/>
  <c r="D36" i="84"/>
  <c r="D64" s="1"/>
  <c r="D116" i="83"/>
  <c r="D47" i="53"/>
  <c r="D100" s="1"/>
  <c r="D140"/>
  <c r="D207"/>
  <c r="D49" i="81"/>
  <c r="C18" i="55"/>
  <c r="C75" s="1"/>
  <c r="D53" i="83"/>
  <c r="C42" i="55"/>
  <c r="C99" s="1"/>
  <c r="E44" i="81"/>
  <c r="D13" i="55"/>
  <c r="D70" s="1"/>
  <c r="E239"/>
  <c r="C126"/>
  <c r="E184" s="1"/>
  <c r="C89" i="83"/>
  <c r="B28" i="84"/>
  <c r="B59" s="1"/>
  <c r="D93" i="83"/>
  <c r="C32" i="84"/>
  <c r="D108" i="81"/>
  <c r="D25" i="53"/>
  <c r="D78" s="1"/>
  <c r="E12" i="55"/>
  <c r="E69" s="1"/>
  <c r="F43" i="81"/>
  <c r="D106"/>
  <c r="D23" i="53"/>
  <c r="D76" s="1"/>
  <c r="E161"/>
  <c r="E228"/>
  <c r="E202"/>
  <c r="E135"/>
  <c r="G10" i="21"/>
  <c r="J38" i="61"/>
  <c r="D164" i="53"/>
  <c r="D231"/>
  <c r="L64" i="22"/>
  <c r="M61" s="1"/>
  <c r="F94" i="81"/>
  <c r="F11" i="53"/>
  <c r="F64" s="1"/>
  <c r="C57" i="55"/>
  <c r="C114" s="1"/>
  <c r="D68" i="83"/>
  <c r="E223" i="53"/>
  <c r="E156"/>
  <c r="B24" i="84"/>
  <c r="B55" s="1"/>
  <c r="C85" i="83"/>
  <c r="D63"/>
  <c r="C52" i="55"/>
  <c r="C109" s="1"/>
  <c r="B26"/>
  <c r="B83" s="1"/>
  <c r="C57" i="81"/>
  <c r="D80" i="83"/>
  <c r="C19" i="84"/>
  <c r="C50" s="1"/>
  <c r="D103" i="81"/>
  <c r="D20" i="53"/>
  <c r="D73" s="1"/>
  <c r="D47" i="81"/>
  <c r="C16" i="55"/>
  <c r="C73" s="1"/>
  <c r="E239" i="53"/>
  <c r="E175"/>
  <c r="B23" i="55"/>
  <c r="B80" s="1"/>
  <c r="C54" i="81"/>
  <c r="K45" i="22"/>
  <c r="K66"/>
  <c r="B97" s="1"/>
  <c r="B92" i="55"/>
  <c r="D163" i="84"/>
  <c r="B125"/>
  <c r="B142" s="1"/>
  <c r="D155" s="1"/>
  <c r="D168"/>
  <c r="D164"/>
  <c r="B126"/>
  <c r="B143" s="1"/>
  <c r="D156" s="1"/>
  <c r="B124"/>
  <c r="B141" s="1"/>
  <c r="D169" s="1"/>
  <c r="E160" i="53"/>
  <c r="E227"/>
  <c r="D101" i="81"/>
  <c r="D18" i="53"/>
  <c r="D71" s="1"/>
  <c r="B27" i="72"/>
  <c r="B51" s="1"/>
  <c r="C81" i="81"/>
  <c r="D94" i="83"/>
  <c r="C33" i="84"/>
  <c r="D67" i="81"/>
  <c r="C13" i="72"/>
  <c r="E201" i="53"/>
  <c r="E134"/>
  <c r="E92" i="81"/>
  <c r="E9" i="53"/>
  <c r="E62" s="1"/>
  <c r="B26" i="72"/>
  <c r="B50" s="1"/>
  <c r="C80" i="81"/>
  <c r="D70"/>
  <c r="C16" i="72"/>
  <c r="C40" s="1"/>
  <c r="B47" i="55"/>
  <c r="B104" s="1"/>
  <c r="C58" i="83"/>
  <c r="D168" i="53"/>
  <c r="D235"/>
  <c r="B24" i="72"/>
  <c r="B48" s="1"/>
  <c r="C78" i="81"/>
  <c r="B78" i="72"/>
  <c r="D141" s="1"/>
  <c r="D154"/>
  <c r="B79"/>
  <c r="H113" i="81"/>
  <c r="I30" i="53" s="1"/>
  <c r="I83" s="1"/>
  <c r="H30"/>
  <c r="H83" s="1"/>
  <c r="E137"/>
  <c r="E204"/>
  <c r="D233"/>
  <c r="D166"/>
  <c r="E54" i="83"/>
  <c r="D43" i="55"/>
  <c r="D100" s="1"/>
  <c r="B51"/>
  <c r="B108" s="1"/>
  <c r="C62" i="83"/>
  <c r="E98"/>
  <c r="D37" i="84"/>
  <c r="D65" s="1"/>
  <c r="D143" i="53"/>
  <c r="D210"/>
  <c r="H42"/>
  <c r="H95" s="1"/>
  <c r="H111" i="83"/>
  <c r="I42" i="53" s="1"/>
  <c r="I95" s="1"/>
  <c r="D145"/>
  <c r="D212"/>
  <c r="E121" i="83"/>
  <c r="E52" i="53"/>
  <c r="E105" s="1"/>
  <c r="E178"/>
  <c r="E242"/>
  <c r="B31" i="55"/>
  <c r="B88" s="1"/>
  <c r="C62" i="81"/>
  <c r="D92" i="83"/>
  <c r="C31" i="84"/>
  <c r="I57" i="48"/>
  <c r="I59" s="1"/>
  <c r="F21" i="21"/>
  <c r="I48" i="61"/>
  <c r="I214" i="53"/>
  <c r="I267"/>
  <c r="I268"/>
  <c r="I243"/>
  <c r="I265"/>
  <c r="I266"/>
  <c r="I205"/>
  <c r="J124"/>
  <c r="I219"/>
  <c r="I152"/>
  <c r="D112" i="83"/>
  <c r="D43" i="53"/>
  <c r="D96" s="1"/>
  <c r="E69" i="81"/>
  <c r="D15" i="72"/>
  <c r="D39" s="1"/>
  <c r="B21" i="55"/>
  <c r="B78" s="1"/>
  <c r="C52" i="81"/>
  <c r="D260" i="55"/>
  <c r="B147"/>
  <c r="D206" s="1"/>
  <c r="I35" i="61"/>
  <c r="F11" i="21"/>
  <c r="B25" i="84"/>
  <c r="B56" s="1"/>
  <c r="C86" i="83"/>
  <c r="D52"/>
  <c r="C41" i="55"/>
  <c r="C98" s="1"/>
  <c r="E240" i="53"/>
  <c r="E176"/>
  <c r="B127" i="55"/>
  <c r="D185" s="1"/>
  <c r="D240"/>
  <c r="D263"/>
  <c r="B150"/>
  <c r="D209" s="1"/>
  <c r="D59"/>
  <c r="D116" s="1"/>
  <c r="E70" i="83"/>
  <c r="E55" i="53"/>
  <c r="E108" s="1"/>
  <c r="E124" i="83"/>
  <c r="E42" i="21"/>
  <c r="E14" i="69"/>
  <c r="B151" i="55"/>
  <c r="D210" s="1"/>
  <c r="D264"/>
  <c r="B165"/>
  <c r="D224" s="1"/>
  <c r="D275"/>
  <c r="D44" i="53"/>
  <c r="D97" s="1"/>
  <c r="D113" i="83"/>
  <c r="C30" i="55"/>
  <c r="C87" s="1"/>
  <c r="D61" i="81"/>
  <c r="E224" i="53"/>
  <c r="E157"/>
  <c r="D71" i="81"/>
  <c r="C17" i="72"/>
  <c r="C41" s="1"/>
  <c r="D146" i="53"/>
  <c r="D213"/>
  <c r="F234" i="55"/>
  <c r="D121"/>
  <c r="F179" s="1"/>
  <c r="D144" i="53"/>
  <c r="D211"/>
  <c r="E109" i="83"/>
  <c r="E40" i="53"/>
  <c r="E93" s="1"/>
  <c r="E14"/>
  <c r="E67" s="1"/>
  <c r="E97" i="81"/>
  <c r="D47" i="83"/>
  <c r="C36" i="55"/>
  <c r="C93" s="1"/>
  <c r="D42" i="81"/>
  <c r="C11" i="55"/>
  <c r="F132" i="53"/>
  <c r="F199"/>
  <c r="B166" i="55"/>
  <c r="D225" s="1"/>
  <c r="D276"/>
  <c r="C18" i="84"/>
  <c r="C49" s="1"/>
  <c r="D79" i="83"/>
  <c r="E104"/>
  <c r="E35" i="53"/>
  <c r="E88" s="1"/>
  <c r="D46" i="22"/>
  <c r="D65"/>
  <c r="C13" i="69" s="1"/>
  <c r="C15" s="1"/>
  <c r="B161" i="55"/>
  <c r="D220" s="1"/>
  <c r="D274"/>
  <c r="B28" i="72"/>
  <c r="B52" s="1"/>
  <c r="C82" i="81"/>
  <c r="D141" i="53"/>
  <c r="D208"/>
  <c r="B125" i="55"/>
  <c r="D183" s="1"/>
  <c r="D238"/>
  <c r="E123" i="83"/>
  <c r="E54" i="53"/>
  <c r="E107" s="1"/>
  <c r="F239" s="1"/>
  <c r="B25" i="72"/>
  <c r="B49" s="1"/>
  <c r="C79" i="81"/>
  <c r="H42" i="21"/>
  <c r="H14" i="69"/>
  <c r="H64" i="83"/>
  <c r="E108"/>
  <c r="E39" i="53"/>
  <c r="E92" s="1"/>
  <c r="D139"/>
  <c r="D206"/>
  <c r="D119" i="83"/>
  <c r="D50" i="53"/>
  <c r="D103" s="1"/>
  <c r="B25" i="55"/>
  <c r="B82" s="1"/>
  <c r="C56" i="81"/>
  <c r="J29" i="42"/>
  <c r="J27"/>
  <c r="J28"/>
  <c r="J37"/>
  <c r="J43" s="1"/>
  <c r="H30" i="21" s="1"/>
  <c r="J21" i="42"/>
  <c r="J23" s="1"/>
  <c r="C14" i="84"/>
  <c r="D75" i="83"/>
  <c r="B37" i="72"/>
  <c r="E73" i="81"/>
  <c r="D19" i="72"/>
  <c r="D43" s="1"/>
  <c r="D112" i="81"/>
  <c r="D29" i="53"/>
  <c r="D82" s="1"/>
  <c r="D111" i="81"/>
  <c r="D28" i="53"/>
  <c r="D81" s="1"/>
  <c r="B24" i="55"/>
  <c r="B81" s="1"/>
  <c r="C55" i="81"/>
  <c r="B70" i="72"/>
  <c r="B71"/>
  <c r="D50" i="83"/>
  <c r="C39" i="55"/>
  <c r="C96" s="1"/>
  <c r="C35" i="84"/>
  <c r="C63" s="1"/>
  <c r="D96" i="83"/>
  <c r="D27" i="53"/>
  <c r="D80" s="1"/>
  <c r="D110" i="81"/>
  <c r="E277" i="55"/>
  <c r="C167"/>
  <c r="E226" s="1"/>
  <c r="H151" i="53"/>
  <c r="H218"/>
  <c r="F170" i="29"/>
  <c r="F155"/>
  <c r="F140"/>
  <c r="F125"/>
  <c r="F35"/>
  <c r="E16" i="53"/>
  <c r="E69" s="1"/>
  <c r="E99" i="81"/>
  <c r="C119" i="53"/>
  <c r="C114"/>
  <c r="C152" i="55"/>
  <c r="E211" s="1"/>
  <c r="E265"/>
  <c r="E225" i="53"/>
  <c r="E158"/>
  <c r="E222"/>
  <c r="E155"/>
  <c r="B28" i="55"/>
  <c r="B85" s="1"/>
  <c r="C59" i="81"/>
  <c r="D48" i="83"/>
  <c r="C37" i="55"/>
  <c r="C94" s="1"/>
  <c r="C14"/>
  <c r="C71" s="1"/>
  <c r="D45" i="81"/>
  <c r="C20" i="84"/>
  <c r="C51" s="1"/>
  <c r="D81" i="83"/>
  <c r="D46" i="81"/>
  <c r="C15" i="55"/>
  <c r="C72" s="1"/>
  <c r="D169" i="53"/>
  <c r="D236"/>
  <c r="E12"/>
  <c r="E65" s="1"/>
  <c r="E95" i="81"/>
  <c r="E102" i="83"/>
  <c r="E33" i="53"/>
  <c r="E86" s="1"/>
  <c r="D17" i="55"/>
  <c r="D74" s="1"/>
  <c r="E48" i="81"/>
  <c r="D170" i="53"/>
  <c r="D237"/>
  <c r="E52" i="22"/>
  <c r="G51"/>
  <c r="C35" i="55"/>
  <c r="D46" i="83"/>
  <c r="K29" i="48"/>
  <c r="K33"/>
  <c r="K37"/>
  <c r="K44"/>
  <c r="K30"/>
  <c r="K34"/>
  <c r="K38"/>
  <c r="K32"/>
  <c r="K35"/>
  <c r="K52"/>
  <c r="K56" s="1"/>
  <c r="H31" i="21" s="1"/>
  <c r="K36" i="48"/>
  <c r="K31"/>
  <c r="K28"/>
  <c r="K39" s="1"/>
  <c r="K43"/>
  <c r="E278" i="55"/>
  <c r="C168"/>
  <c r="E227" s="1"/>
  <c r="D42" i="21"/>
  <c r="D14" i="69"/>
  <c r="C56" i="55"/>
  <c r="C113" s="1"/>
  <c r="D67" i="83"/>
  <c r="D117"/>
  <c r="D48" i="53"/>
  <c r="D101" s="1"/>
  <c r="B31" i="72"/>
  <c r="B55" s="1"/>
  <c r="C85" i="81"/>
  <c r="E133" i="53"/>
  <c r="E200"/>
  <c r="D104" i="81"/>
  <c r="D21" i="53"/>
  <c r="D74" s="1"/>
  <c r="B42" i="21"/>
  <c r="E221" i="53"/>
  <c r="E154"/>
  <c r="D165"/>
  <c r="D232"/>
  <c r="B139" i="55"/>
  <c r="D197" s="1"/>
  <c r="D252"/>
  <c r="E105" i="83"/>
  <c r="E36" i="53"/>
  <c r="E89" s="1"/>
  <c r="H273"/>
  <c r="F32" i="21" s="1"/>
  <c r="F98" i="81"/>
  <c r="F15" i="53"/>
  <c r="F68" s="1"/>
  <c r="F241" i="55"/>
  <c r="D128"/>
  <c r="F186" s="1"/>
  <c r="D77" i="83"/>
  <c r="C16" i="84"/>
  <c r="C47" s="1"/>
  <c r="E177" i="53"/>
  <c r="E241"/>
  <c r="D258" i="55"/>
  <c r="B145"/>
  <c r="D204" s="1"/>
  <c r="B68"/>
  <c r="D115" i="83"/>
  <c r="D46" i="53"/>
  <c r="D99" s="1"/>
  <c r="C64" i="72"/>
  <c r="E144" s="1"/>
  <c r="C65"/>
  <c r="C87" i="83"/>
  <c r="B26" i="84"/>
  <c r="B57" s="1"/>
  <c r="B23" i="72"/>
  <c r="B47" s="1"/>
  <c r="C77" i="81"/>
  <c r="D118" i="83"/>
  <c r="D49" i="53"/>
  <c r="D102" s="1"/>
  <c r="C20" i="72"/>
  <c r="C44" s="1"/>
  <c r="D74" i="81"/>
  <c r="B27" i="84"/>
  <c r="B58" s="1"/>
  <c r="C88" i="83"/>
  <c r="F153" i="72"/>
  <c r="D63"/>
  <c r="F140" s="1"/>
  <c r="E226" i="53"/>
  <c r="E159"/>
  <c r="B23" i="84"/>
  <c r="B54" s="1"/>
  <c r="C84" i="83"/>
  <c r="J39" i="48"/>
  <c r="D171" i="53"/>
  <c r="D238"/>
  <c r="B29" i="72"/>
  <c r="B53" s="1"/>
  <c r="C83" i="81"/>
  <c r="D49" i="83"/>
  <c r="C38" i="55"/>
  <c r="C95" s="1"/>
  <c r="F229" i="53"/>
  <c r="F162"/>
  <c r="H45" i="42"/>
  <c r="H47" s="1"/>
  <c r="F20" i="21"/>
  <c r="I51" i="61"/>
  <c r="C83" i="83"/>
  <c r="B22" i="84"/>
  <c r="B53" s="1"/>
  <c r="D160" i="72"/>
  <c r="D142"/>
  <c r="D150" i="53"/>
  <c r="D217"/>
  <c r="D216"/>
  <c r="D149"/>
  <c r="D76" i="83"/>
  <c r="C15" i="84"/>
  <c r="C46" s="1"/>
  <c r="B148" i="55"/>
  <c r="D207" s="1"/>
  <c r="D261"/>
  <c r="F75" i="81"/>
  <c r="E21" i="72"/>
  <c r="E45" s="1"/>
  <c r="D148" i="53"/>
  <c r="D215"/>
  <c r="E69" i="83"/>
  <c r="D58" i="55"/>
  <c r="D115" s="1"/>
  <c r="D51" i="83"/>
  <c r="C40" i="55"/>
  <c r="C97" s="1"/>
  <c r="D102" i="81"/>
  <c r="D19" i="53"/>
  <c r="D72" s="1"/>
  <c r="F14" i="69"/>
  <c r="F42" i="21"/>
  <c r="K40" i="22"/>
  <c r="L37" s="1"/>
  <c r="C118" i="53"/>
  <c r="B22" i="72"/>
  <c r="B46" s="1"/>
  <c r="C76" i="81"/>
  <c r="E106" i="83"/>
  <c r="E37" i="53"/>
  <c r="E90" s="1"/>
  <c r="E103" i="83"/>
  <c r="E34" i="53"/>
  <c r="E87" s="1"/>
  <c r="B30" i="72"/>
  <c r="B54" s="1"/>
  <c r="C84" i="81"/>
  <c r="B146" i="55"/>
  <c r="D205" s="1"/>
  <c r="D259"/>
  <c r="C30" i="84"/>
  <c r="C61" s="1"/>
  <c r="D91" i="83"/>
  <c r="B123" i="55"/>
  <c r="D181" s="1"/>
  <c r="D236"/>
  <c r="D237"/>
  <c r="B124"/>
  <c r="D182" s="1"/>
  <c r="E122" i="83"/>
  <c r="E53" i="53"/>
  <c r="E106" s="1"/>
  <c r="F174" s="1"/>
  <c r="I45" i="42" l="1"/>
  <c r="I47" s="1"/>
  <c r="H87" i="81"/>
  <c r="D132" i="83"/>
  <c r="E285" i="55"/>
  <c r="E284"/>
  <c r="E23" i="22"/>
  <c r="B35" i="21" s="1"/>
  <c r="B36" s="1"/>
  <c r="H10" i="53"/>
  <c r="H63" s="1"/>
  <c r="H93" i="81"/>
  <c r="I10" i="53" s="1"/>
  <c r="I63" s="1"/>
  <c r="J198" s="1"/>
  <c r="J34" i="42"/>
  <c r="G86" i="81"/>
  <c r="H86" s="1"/>
  <c r="H131" i="53"/>
  <c r="H198"/>
  <c r="B33" i="55"/>
  <c r="K49" i="48"/>
  <c r="H21" i="21" s="1"/>
  <c r="I273" i="53"/>
  <c r="G32" i="21" s="1"/>
  <c r="E11" i="29"/>
  <c r="M58" i="22"/>
  <c r="N55" s="1"/>
  <c r="N56" s="1"/>
  <c r="N57" s="1"/>
  <c r="D60" i="29"/>
  <c r="C96" i="22"/>
  <c r="H60" i="29"/>
  <c r="G96" i="22"/>
  <c r="I11" i="29"/>
  <c r="D246" i="53"/>
  <c r="D114"/>
  <c r="E245" s="1"/>
  <c r="D253"/>
  <c r="F222"/>
  <c r="F155"/>
  <c r="D76" i="81"/>
  <c r="C22" i="72"/>
  <c r="C46" s="1"/>
  <c r="G60" i="29"/>
  <c r="H96"/>
  <c r="H11"/>
  <c r="F96" i="22"/>
  <c r="C149" i="55"/>
  <c r="E208" s="1"/>
  <c r="E262"/>
  <c r="G75" i="81"/>
  <c r="F21" i="72"/>
  <c r="F45" s="1"/>
  <c r="E49" i="83"/>
  <c r="D38" i="55"/>
  <c r="D95" s="1"/>
  <c r="D88" i="83"/>
  <c r="C27" i="84"/>
  <c r="C58" s="1"/>
  <c r="D152" i="72"/>
  <c r="B95"/>
  <c r="D139" s="1"/>
  <c r="B96"/>
  <c r="D233" i="55"/>
  <c r="B120"/>
  <c r="F224" i="53"/>
  <c r="F157"/>
  <c r="B96" i="22"/>
  <c r="D96" i="29"/>
  <c r="D11"/>
  <c r="C60"/>
  <c r="E236" i="53"/>
  <c r="E169"/>
  <c r="B39" i="84"/>
  <c r="B144" s="1"/>
  <c r="D157" s="1"/>
  <c r="C92" i="55"/>
  <c r="F239"/>
  <c r="D126"/>
  <c r="F184" s="1"/>
  <c r="F200" i="53"/>
  <c r="F133"/>
  <c r="E46" i="81"/>
  <c r="D15" i="55"/>
  <c r="D72" s="1"/>
  <c r="C123"/>
  <c r="E181" s="1"/>
  <c r="E236"/>
  <c r="B137"/>
  <c r="D195" s="1"/>
  <c r="D250"/>
  <c r="D188" i="53"/>
  <c r="D251"/>
  <c r="E110" i="81"/>
  <c r="E27" i="53"/>
  <c r="E80" s="1"/>
  <c r="E216"/>
  <c r="E149"/>
  <c r="D14" i="84"/>
  <c r="E75" i="83"/>
  <c r="B134" i="55"/>
  <c r="D192" s="1"/>
  <c r="D247"/>
  <c r="E43" i="22"/>
  <c r="D68"/>
  <c r="F17" s="1"/>
  <c r="F23" s="1"/>
  <c r="C35" i="21" s="1"/>
  <c r="C36" s="1"/>
  <c r="E42" i="81"/>
  <c r="D11" i="55"/>
  <c r="F135" i="53"/>
  <c r="F202"/>
  <c r="E165"/>
  <c r="E232"/>
  <c r="F240"/>
  <c r="F176"/>
  <c r="D86" i="83"/>
  <c r="C25" i="84"/>
  <c r="C56" s="1"/>
  <c r="B130" i="55"/>
  <c r="D188" s="1"/>
  <c r="D243"/>
  <c r="E112" i="83"/>
  <c r="E43" i="53"/>
  <c r="E96" s="1"/>
  <c r="D62" i="81"/>
  <c r="C31" i="55"/>
  <c r="C88" s="1"/>
  <c r="F173" i="53"/>
  <c r="J230"/>
  <c r="J163"/>
  <c r="D152" i="55"/>
  <c r="F211" s="1"/>
  <c r="F265"/>
  <c r="I218" i="53"/>
  <c r="I151"/>
  <c r="E70" i="81"/>
  <c r="D16" i="72"/>
  <c r="D40" s="1"/>
  <c r="F9" i="53"/>
  <c r="F62" s="1"/>
  <c r="F92" i="81"/>
  <c r="E67"/>
  <c r="D13" i="72"/>
  <c r="B144" i="55"/>
  <c r="D203" s="1"/>
  <c r="D257"/>
  <c r="B132"/>
  <c r="D190" s="1"/>
  <c r="D245"/>
  <c r="E238"/>
  <c r="C125"/>
  <c r="E183" s="1"/>
  <c r="C161"/>
  <c r="E220" s="1"/>
  <c r="E274"/>
  <c r="G199" i="53"/>
  <c r="G132"/>
  <c r="E211"/>
  <c r="E144"/>
  <c r="E213"/>
  <c r="E146"/>
  <c r="F235" i="55"/>
  <c r="D122"/>
  <c r="F180" s="1"/>
  <c r="E240"/>
  <c r="C127"/>
  <c r="E185" s="1"/>
  <c r="E235" i="53"/>
  <c r="E168"/>
  <c r="G229"/>
  <c r="G162"/>
  <c r="D267" i="55"/>
  <c r="B154"/>
  <c r="D213" s="1"/>
  <c r="G153" i="72"/>
  <c r="E63"/>
  <c r="G140" s="1"/>
  <c r="F82" i="83"/>
  <c r="E21" i="84"/>
  <c r="E52" s="1"/>
  <c r="G50" i="81"/>
  <c r="F19" i="55"/>
  <c r="F76" s="1"/>
  <c r="M50" i="22"/>
  <c r="E24" i="53"/>
  <c r="E77" s="1"/>
  <c r="E107" i="81"/>
  <c r="E210" i="53"/>
  <c r="E143"/>
  <c r="B129" i="55"/>
  <c r="D187" s="1"/>
  <c r="D242"/>
  <c r="E233" i="53"/>
  <c r="E166"/>
  <c r="E154" i="72"/>
  <c r="C79"/>
  <c r="C78"/>
  <c r="E141" s="1"/>
  <c r="D118" i="53"/>
  <c r="F201"/>
  <c r="F134"/>
  <c r="F107" i="83"/>
  <c r="F38" i="53"/>
  <c r="F91" s="1"/>
  <c r="D270" i="55"/>
  <c r="B157"/>
  <c r="D216" s="1"/>
  <c r="D272"/>
  <c r="B159"/>
  <c r="D218" s="1"/>
  <c r="B138"/>
  <c r="D196" s="1"/>
  <c r="D251"/>
  <c r="F122" i="83"/>
  <c r="F53" i="53"/>
  <c r="F106" s="1"/>
  <c r="G174" s="1"/>
  <c r="F103" i="83"/>
  <c r="F34" i="53"/>
  <c r="F87" s="1"/>
  <c r="E51" i="83"/>
  <c r="D40" i="55"/>
  <c r="D97" s="1"/>
  <c r="E76" i="83"/>
  <c r="D15" i="84"/>
  <c r="D46" s="1"/>
  <c r="D83" i="83"/>
  <c r="C22" i="84"/>
  <c r="C53" s="1"/>
  <c r="D83" i="81"/>
  <c r="C29" i="72"/>
  <c r="C53" s="1"/>
  <c r="J59" i="48"/>
  <c r="G11" i="21"/>
  <c r="J35" i="61"/>
  <c r="E170" i="53"/>
  <c r="E237"/>
  <c r="E234"/>
  <c r="E167"/>
  <c r="G203"/>
  <c r="G136"/>
  <c r="F105" i="83"/>
  <c r="F36" i="53"/>
  <c r="F89" s="1"/>
  <c r="G224" s="1"/>
  <c r="E117" i="83"/>
  <c r="E48" i="53"/>
  <c r="E101" s="1"/>
  <c r="F96" i="29"/>
  <c r="E60"/>
  <c r="F11"/>
  <c r="D96" i="22"/>
  <c r="K57" i="48"/>
  <c r="K59" s="1"/>
  <c r="K48" i="61"/>
  <c r="F221" i="53"/>
  <c r="F154"/>
  <c r="E81" i="83"/>
  <c r="D20" i="84"/>
  <c r="D51" s="1"/>
  <c r="E259" i="55"/>
  <c r="C146"/>
  <c r="E205" s="1"/>
  <c r="F99" i="81"/>
  <c r="F16" i="53"/>
  <c r="F69" s="1"/>
  <c r="E148"/>
  <c r="E215"/>
  <c r="E111" i="81"/>
  <c r="E28" i="53"/>
  <c r="E81" s="1"/>
  <c r="E19" i="72"/>
  <c r="E43" s="1"/>
  <c r="F73" i="81"/>
  <c r="C45" i="84"/>
  <c r="J45" i="42"/>
  <c r="J47" s="1"/>
  <c r="H20" i="21"/>
  <c r="K51" i="61"/>
  <c r="E238" i="53"/>
  <c r="E171"/>
  <c r="F160"/>
  <c r="F227"/>
  <c r="J96" i="29"/>
  <c r="H96" i="22"/>
  <c r="I60" i="29"/>
  <c r="J11"/>
  <c r="F123" i="83"/>
  <c r="F54" i="53"/>
  <c r="F107" s="1"/>
  <c r="F223"/>
  <c r="F156"/>
  <c r="C145" i="55"/>
  <c r="E204" s="1"/>
  <c r="E258"/>
  <c r="F161" i="53"/>
  <c r="F228"/>
  <c r="E61" i="81"/>
  <c r="D30" i="55"/>
  <c r="D87" s="1"/>
  <c r="F70" i="83"/>
  <c r="E59" i="55"/>
  <c r="E116" s="1"/>
  <c r="D64" i="72"/>
  <c r="F144" s="1"/>
  <c r="D65"/>
  <c r="D253" i="55"/>
  <c r="B140"/>
  <c r="D198" s="1"/>
  <c r="F121" i="83"/>
  <c r="F52" i="53"/>
  <c r="F105" s="1"/>
  <c r="G173" s="1"/>
  <c r="I163"/>
  <c r="I230"/>
  <c r="F98" i="83"/>
  <c r="E37" i="84"/>
  <c r="E65" s="1"/>
  <c r="F54" i="83"/>
  <c r="E43" i="55"/>
  <c r="E100" s="1"/>
  <c r="J218" i="53"/>
  <c r="J151"/>
  <c r="C24" i="72"/>
  <c r="C48" s="1"/>
  <c r="D78" i="81"/>
  <c r="D58" i="83"/>
  <c r="C47" i="55"/>
  <c r="C104" s="1"/>
  <c r="D80" i="81"/>
  <c r="C26" i="72"/>
  <c r="C50" s="1"/>
  <c r="E206" i="53"/>
  <c r="E139"/>
  <c r="D170" i="84"/>
  <c r="D154"/>
  <c r="D159" s="1"/>
  <c r="E47" i="81"/>
  <c r="D16" i="55"/>
  <c r="D73" s="1"/>
  <c r="E80" i="83"/>
  <c r="D19" i="84"/>
  <c r="D50" s="1"/>
  <c r="E63" i="83"/>
  <c r="D52" i="55"/>
  <c r="D109" s="1"/>
  <c r="G94" i="81"/>
  <c r="G11" i="53"/>
  <c r="G64" s="1"/>
  <c r="E23"/>
  <c r="E76" s="1"/>
  <c r="E106" i="81"/>
  <c r="E25" i="53"/>
  <c r="E78" s="1"/>
  <c r="E108" i="81"/>
  <c r="D89" i="83"/>
  <c r="C28" i="84"/>
  <c r="C59" s="1"/>
  <c r="F44" i="81"/>
  <c r="E13" i="55"/>
  <c r="E70" s="1"/>
  <c r="E49" i="81"/>
  <c r="D18" i="55"/>
  <c r="D75" s="1"/>
  <c r="E116" i="83"/>
  <c r="E47" i="53"/>
  <c r="E100" s="1"/>
  <c r="D55" i="83"/>
  <c r="C44" i="55"/>
  <c r="C101" s="1"/>
  <c r="D58" i="81"/>
  <c r="C27" i="55"/>
  <c r="C84" s="1"/>
  <c r="K68" i="22"/>
  <c r="D60" i="83"/>
  <c r="C49" i="55"/>
  <c r="C106" s="1"/>
  <c r="F125" i="83"/>
  <c r="F56" i="53"/>
  <c r="F109" s="1"/>
  <c r="F242"/>
  <c r="F178"/>
  <c r="D90" i="83"/>
  <c r="C29" i="84"/>
  <c r="C60" s="1"/>
  <c r="E114" i="83"/>
  <c r="E45" i="53"/>
  <c r="E98" s="1"/>
  <c r="C22" i="55"/>
  <c r="C79" s="1"/>
  <c r="D53" i="81"/>
  <c r="D116" i="53"/>
  <c r="F96" i="81"/>
  <c r="F13" i="53"/>
  <c r="F66" s="1"/>
  <c r="E163" i="84"/>
  <c r="C125"/>
  <c r="C142" s="1"/>
  <c r="E155" s="1"/>
  <c r="E164"/>
  <c r="C124"/>
  <c r="C141" s="1"/>
  <c r="E169" s="1"/>
  <c r="E168"/>
  <c r="C126"/>
  <c r="C143" s="1"/>
  <c r="E156" s="1"/>
  <c r="D57" i="83"/>
  <c r="C46" i="55"/>
  <c r="C103" s="1"/>
  <c r="D30" i="84"/>
  <c r="D61" s="1"/>
  <c r="E91" i="83"/>
  <c r="D84" i="81"/>
  <c r="C30" i="72"/>
  <c r="C54" s="1"/>
  <c r="F158" i="53"/>
  <c r="F225"/>
  <c r="D250"/>
  <c r="D187"/>
  <c r="E140"/>
  <c r="E207"/>
  <c r="F277" i="55"/>
  <c r="D167"/>
  <c r="F226" s="1"/>
  <c r="D84" i="83"/>
  <c r="C23" i="84"/>
  <c r="C54" s="1"/>
  <c r="E74" i="81"/>
  <c r="D20" i="72"/>
  <c r="D44" s="1"/>
  <c r="E118" i="83"/>
  <c r="E49" i="53"/>
  <c r="E102" s="1"/>
  <c r="C26" i="84"/>
  <c r="C57" s="1"/>
  <c r="D87" i="83"/>
  <c r="E115"/>
  <c r="E46" i="53"/>
  <c r="E99" s="1"/>
  <c r="F234" s="1"/>
  <c r="E77" i="83"/>
  <c r="D16" i="84"/>
  <c r="D47" s="1"/>
  <c r="G98" i="81"/>
  <c r="G15" i="53"/>
  <c r="G68" s="1"/>
  <c r="E209"/>
  <c r="E142"/>
  <c r="D85" i="81"/>
  <c r="C31" i="72"/>
  <c r="C55" s="1"/>
  <c r="E67" i="83"/>
  <c r="D56" i="55"/>
  <c r="D113" s="1"/>
  <c r="H11" i="21"/>
  <c r="K35" i="61"/>
  <c r="H51" i="22"/>
  <c r="F102" i="83"/>
  <c r="F33" i="53"/>
  <c r="F86" s="1"/>
  <c r="E48" i="83"/>
  <c r="D37" i="55"/>
  <c r="D94" s="1"/>
  <c r="F204" i="53"/>
  <c r="F137"/>
  <c r="E96" i="83"/>
  <c r="D35" i="84"/>
  <c r="D63" s="1"/>
  <c r="C148" i="55"/>
  <c r="E207" s="1"/>
  <c r="E261"/>
  <c r="D55" i="81"/>
  <c r="C24" i="55"/>
  <c r="C81" s="1"/>
  <c r="E217" i="53"/>
  <c r="E150"/>
  <c r="H10" i="21"/>
  <c r="K38" i="61"/>
  <c r="E119" i="83"/>
  <c r="E50" i="53"/>
  <c r="E103" s="1"/>
  <c r="F39"/>
  <c r="F92" s="1"/>
  <c r="F108" i="83"/>
  <c r="D79" i="81"/>
  <c r="C25" i="72"/>
  <c r="C49" s="1"/>
  <c r="F104" i="83"/>
  <c r="F35" i="53"/>
  <c r="F88" s="1"/>
  <c r="E47" i="83"/>
  <c r="D36" i="55"/>
  <c r="D93" s="1"/>
  <c r="F109" i="83"/>
  <c r="F40" i="53"/>
  <c r="F93" s="1"/>
  <c r="E71" i="81"/>
  <c r="D17" i="72"/>
  <c r="D41" s="1"/>
  <c r="C139" i="55"/>
  <c r="E197" s="1"/>
  <c r="E252"/>
  <c r="F60" i="29"/>
  <c r="E96" i="22"/>
  <c r="G96" i="29"/>
  <c r="G11"/>
  <c r="D168" i="55"/>
  <c r="F227" s="1"/>
  <c r="F278"/>
  <c r="E263"/>
  <c r="C150"/>
  <c r="E209" s="1"/>
  <c r="G170" i="29"/>
  <c r="G125"/>
  <c r="G35"/>
  <c r="G155"/>
  <c r="G140"/>
  <c r="F69" i="81"/>
  <c r="E15" i="72"/>
  <c r="E39" s="1"/>
  <c r="D62" i="83"/>
  <c r="C51" i="55"/>
  <c r="C108" s="1"/>
  <c r="B156"/>
  <c r="D215" s="1"/>
  <c r="D269"/>
  <c r="D33" i="84"/>
  <c r="E94" i="83"/>
  <c r="E101" i="81"/>
  <c r="E18" i="53"/>
  <c r="E71" s="1"/>
  <c r="K67" i="22"/>
  <c r="E208" i="53"/>
  <c r="E141"/>
  <c r="D57" i="81"/>
  <c r="C26" i="55"/>
  <c r="C83" s="1"/>
  <c r="D85" i="83"/>
  <c r="C24" i="84"/>
  <c r="C55" s="1"/>
  <c r="E68" i="83"/>
  <c r="D57" i="55"/>
  <c r="D114" s="1"/>
  <c r="M62" i="22"/>
  <c r="M63" s="1"/>
  <c r="H124" i="29"/>
  <c r="H34"/>
  <c r="H154"/>
  <c r="H169"/>
  <c r="H139"/>
  <c r="G43" i="81"/>
  <c r="F12" i="55"/>
  <c r="F69" s="1"/>
  <c r="C151"/>
  <c r="E210" s="1"/>
  <c r="E264"/>
  <c r="D266"/>
  <c r="B153"/>
  <c r="D212" s="1"/>
  <c r="B136"/>
  <c r="D194" s="1"/>
  <c r="D249"/>
  <c r="L44" i="22"/>
  <c r="L45" s="1"/>
  <c r="L65"/>
  <c r="B158" i="55"/>
  <c r="D217" s="1"/>
  <c r="D271"/>
  <c r="F241" i="53"/>
  <c r="F177"/>
  <c r="F126" i="83"/>
  <c r="F57" i="53"/>
  <c r="F110" s="1"/>
  <c r="D244" i="55"/>
  <c r="B131"/>
  <c r="D189" s="1"/>
  <c r="D119" i="53"/>
  <c r="D34" i="84"/>
  <c r="D62" s="1"/>
  <c r="E95" i="83"/>
  <c r="B155" i="55"/>
  <c r="D214" s="1"/>
  <c r="D268"/>
  <c r="E45" i="22"/>
  <c r="D67"/>
  <c r="D254" i="53"/>
  <c r="F106" i="83"/>
  <c r="F37" i="53"/>
  <c r="F90" s="1"/>
  <c r="L38" i="22"/>
  <c r="L39" s="1"/>
  <c r="E19" i="53"/>
  <c r="E72" s="1"/>
  <c r="E102" i="81"/>
  <c r="F69" i="83"/>
  <c r="E58" i="55"/>
  <c r="E115" s="1"/>
  <c r="C147"/>
  <c r="E206" s="1"/>
  <c r="E260"/>
  <c r="D77" i="81"/>
  <c r="C23" i="72"/>
  <c r="C47" s="1"/>
  <c r="E160"/>
  <c r="E142"/>
  <c r="B65" i="55"/>
  <c r="D200" s="1"/>
  <c r="E21" i="53"/>
  <c r="E74" s="1"/>
  <c r="E104" i="81"/>
  <c r="E275" i="55"/>
  <c r="C165"/>
  <c r="E224" s="1"/>
  <c r="E46" i="83"/>
  <c r="D35" i="55"/>
  <c r="F49" i="22"/>
  <c r="F48" i="81"/>
  <c r="E17" i="55"/>
  <c r="E74" s="1"/>
  <c r="F95" i="81"/>
  <c r="F12" i="53"/>
  <c r="F65" s="1"/>
  <c r="E237" i="55"/>
  <c r="C124"/>
  <c r="E182" s="1"/>
  <c r="E45" i="81"/>
  <c r="D14" i="55"/>
  <c r="D71" s="1"/>
  <c r="D59" i="81"/>
  <c r="C28" i="55"/>
  <c r="C85" s="1"/>
  <c r="D245" i="53"/>
  <c r="D182"/>
  <c r="E50" i="83"/>
  <c r="D39" i="55"/>
  <c r="D96" s="1"/>
  <c r="B133"/>
  <c r="D191" s="1"/>
  <c r="D246"/>
  <c r="E29" i="53"/>
  <c r="E82" s="1"/>
  <c r="E112" i="81"/>
  <c r="B32" i="72"/>
  <c r="C25" i="55"/>
  <c r="C82" s="1"/>
  <c r="D56" i="81"/>
  <c r="C28" i="72"/>
  <c r="C52" s="1"/>
  <c r="D82" i="81"/>
  <c r="E79" i="83"/>
  <c r="D18" i="84"/>
  <c r="D49" s="1"/>
  <c r="C68" i="55"/>
  <c r="F97" i="81"/>
  <c r="F14" i="53"/>
  <c r="F67" s="1"/>
  <c r="E113" i="83"/>
  <c r="E44" i="53"/>
  <c r="E97" s="1"/>
  <c r="F124" i="83"/>
  <c r="F55" i="53"/>
  <c r="F108" s="1"/>
  <c r="E52" i="83"/>
  <c r="D41" i="55"/>
  <c r="D98" s="1"/>
  <c r="D52" i="81"/>
  <c r="C21" i="55"/>
  <c r="C78" s="1"/>
  <c r="E231" i="53"/>
  <c r="E164"/>
  <c r="J214"/>
  <c r="J266"/>
  <c r="J267"/>
  <c r="J243"/>
  <c r="J268"/>
  <c r="J205"/>
  <c r="J265"/>
  <c r="J152"/>
  <c r="J219"/>
  <c r="E92" i="83"/>
  <c r="D31" i="84"/>
  <c r="B160" i="55"/>
  <c r="D219" s="1"/>
  <c r="D273"/>
  <c r="C71" i="72"/>
  <c r="C70"/>
  <c r="F197" i="53"/>
  <c r="F130"/>
  <c r="C37" i="72"/>
  <c r="D81" i="81"/>
  <c r="C27" i="72"/>
  <c r="C51" s="1"/>
  <c r="B61" i="55"/>
  <c r="B10" s="1"/>
  <c r="D54" i="81"/>
  <c r="C23" i="55"/>
  <c r="C80" s="1"/>
  <c r="F175" i="53"/>
  <c r="E20"/>
  <c r="E73" s="1"/>
  <c r="E103" i="81"/>
  <c r="D248" i="55"/>
  <c r="B135"/>
  <c r="D193" s="1"/>
  <c r="E276"/>
  <c r="C166"/>
  <c r="E225" s="1"/>
  <c r="G234"/>
  <c r="E121"/>
  <c r="G179" s="1"/>
  <c r="D32" i="84"/>
  <c r="E93" i="83"/>
  <c r="E53"/>
  <c r="D42" i="55"/>
  <c r="D99" s="1"/>
  <c r="F97" i="83"/>
  <c r="E36" i="84"/>
  <c r="E64" s="1"/>
  <c r="G110" i="83"/>
  <c r="G41" i="53"/>
  <c r="G94" s="1"/>
  <c r="D56" i="83"/>
  <c r="C45" i="55"/>
  <c r="C102" s="1"/>
  <c r="G68" i="81"/>
  <c r="F14" i="72"/>
  <c r="F38" s="1"/>
  <c r="G241" i="55"/>
  <c r="E128"/>
  <c r="G186" s="1"/>
  <c r="E145" i="53"/>
  <c r="E212"/>
  <c r="E105" i="81"/>
  <c r="E22" i="53"/>
  <c r="E75" s="1"/>
  <c r="D51" i="81"/>
  <c r="C20" i="55"/>
  <c r="C77" s="1"/>
  <c r="J172" i="53"/>
  <c r="E72" i="81"/>
  <c r="D18" i="72"/>
  <c r="D42" s="1"/>
  <c r="D115" i="53"/>
  <c r="F226"/>
  <c r="F159"/>
  <c r="D59" i="83"/>
  <c r="C48" i="55"/>
  <c r="C105" s="1"/>
  <c r="D17" i="84"/>
  <c r="D48" s="1"/>
  <c r="E78" i="83"/>
  <c r="D61"/>
  <c r="C50" i="55"/>
  <c r="C107" s="1"/>
  <c r="D60" i="81"/>
  <c r="C29" i="55"/>
  <c r="C86" s="1"/>
  <c r="J131" i="53" l="1"/>
  <c r="E132" i="83"/>
  <c r="F284" i="55"/>
  <c r="F285"/>
  <c r="C176" i="29"/>
  <c r="C161"/>
  <c r="C146"/>
  <c r="C45"/>
  <c r="C131"/>
  <c r="C24" i="68"/>
  <c r="D191" i="53"/>
  <c r="E34" i="61" s="1"/>
  <c r="I198" i="53"/>
  <c r="I131"/>
  <c r="D146" i="29"/>
  <c r="D24" i="68"/>
  <c r="D176" i="29"/>
  <c r="D131"/>
  <c r="D161"/>
  <c r="D45"/>
  <c r="L46" i="22"/>
  <c r="M43" s="1"/>
  <c r="L40"/>
  <c r="M37" s="1"/>
  <c r="M38" s="1"/>
  <c r="M40" s="1"/>
  <c r="N37" s="1"/>
  <c r="E116" i="53"/>
  <c r="F247" s="1"/>
  <c r="E182"/>
  <c r="G277" i="55"/>
  <c r="E167"/>
  <c r="G226" s="1"/>
  <c r="E251" i="53"/>
  <c r="E188"/>
  <c r="G126" i="83"/>
  <c r="G57" i="53"/>
  <c r="G110" s="1"/>
  <c r="F68" i="83"/>
  <c r="E57" i="55"/>
  <c r="E114" s="1"/>
  <c r="E57" i="81"/>
  <c r="D26" i="55"/>
  <c r="D83" s="1"/>
  <c r="L67" i="22"/>
  <c r="F101" i="81"/>
  <c r="F18" i="53"/>
  <c r="F71" s="1"/>
  <c r="F71" i="81"/>
  <c r="E17" i="72"/>
  <c r="E41" s="1"/>
  <c r="F47" i="83"/>
  <c r="E36" i="55"/>
  <c r="E93" s="1"/>
  <c r="E79" i="81"/>
  <c r="D25" i="72"/>
  <c r="D49" s="1"/>
  <c r="F119" i="83"/>
  <c r="F50" i="53"/>
  <c r="F103" s="1"/>
  <c r="G221"/>
  <c r="G154"/>
  <c r="F67" i="83"/>
  <c r="E56" i="55"/>
  <c r="E113" s="1"/>
  <c r="F77" i="83"/>
  <c r="E16" i="84"/>
  <c r="E47" s="1"/>
  <c r="F74" i="81"/>
  <c r="E20" i="72"/>
  <c r="E44" s="1"/>
  <c r="E15" i="61"/>
  <c r="E84" i="81"/>
  <c r="D30" i="72"/>
  <c r="D54" s="1"/>
  <c r="E57" i="83"/>
  <c r="D46" i="55"/>
  <c r="D103" s="1"/>
  <c r="G96" i="81"/>
  <c r="G13" i="53"/>
  <c r="G66" s="1"/>
  <c r="F233"/>
  <c r="F166"/>
  <c r="E271" i="55"/>
  <c r="C158"/>
  <c r="E217" s="1"/>
  <c r="E58" i="81"/>
  <c r="D27" i="55"/>
  <c r="D84" s="1"/>
  <c r="F47" i="53"/>
  <c r="F100" s="1"/>
  <c r="F116" i="83"/>
  <c r="G44" i="81"/>
  <c r="F13" i="55"/>
  <c r="F70" s="1"/>
  <c r="F213" i="53"/>
  <c r="F146"/>
  <c r="H11"/>
  <c r="H64" s="1"/>
  <c r="H94" i="81"/>
  <c r="I11" i="53" s="1"/>
  <c r="I64" s="1"/>
  <c r="F80" i="83"/>
  <c r="E19" i="84"/>
  <c r="E50" s="1"/>
  <c r="E39" i="61"/>
  <c r="B13" i="21"/>
  <c r="E58" i="83"/>
  <c r="D47" i="55"/>
  <c r="D104" s="1"/>
  <c r="G98" i="83"/>
  <c r="F37" i="84"/>
  <c r="F65" s="1"/>
  <c r="G121" i="83"/>
  <c r="G52" i="53"/>
  <c r="G105" s="1"/>
  <c r="H173" s="1"/>
  <c r="F61" i="81"/>
  <c r="E30" i="55"/>
  <c r="E87" s="1"/>
  <c r="G54" i="53"/>
  <c r="G107" s="1"/>
  <c r="G123" i="83"/>
  <c r="D149" i="55"/>
  <c r="F208" s="1"/>
  <c r="F262"/>
  <c r="G226" i="53"/>
  <c r="G159"/>
  <c r="E250"/>
  <c r="E187"/>
  <c r="H50" i="81"/>
  <c r="H19" i="55" s="1"/>
  <c r="H76" s="1"/>
  <c r="G19"/>
  <c r="G76" s="1"/>
  <c r="G92" i="81"/>
  <c r="G9" i="53"/>
  <c r="G62" s="1"/>
  <c r="E253" i="55"/>
  <c r="C140"/>
  <c r="E198" s="1"/>
  <c r="C144"/>
  <c r="E203" s="1"/>
  <c r="E257"/>
  <c r="G157" i="53"/>
  <c r="D147" i="55"/>
  <c r="F206" s="1"/>
  <c r="F260"/>
  <c r="E76" i="81"/>
  <c r="D22" i="72"/>
  <c r="D46" s="1"/>
  <c r="F105" i="81"/>
  <c r="F22" i="53"/>
  <c r="F75" s="1"/>
  <c r="E54" i="81"/>
  <c r="D23" i="55"/>
  <c r="D80" s="1"/>
  <c r="E243"/>
  <c r="C130"/>
  <c r="E188" s="1"/>
  <c r="F112" i="81"/>
  <c r="F29" i="53"/>
  <c r="F82" s="1"/>
  <c r="D92" i="55"/>
  <c r="C95" i="72"/>
  <c r="E139" s="1"/>
  <c r="E152"/>
  <c r="C96"/>
  <c r="C159" i="55"/>
  <c r="E218" s="1"/>
  <c r="E272"/>
  <c r="C157"/>
  <c r="E216" s="1"/>
  <c r="E270"/>
  <c r="E246" i="53"/>
  <c r="E183"/>
  <c r="E242" i="55"/>
  <c r="C129"/>
  <c r="E187" s="1"/>
  <c r="E56" i="83"/>
  <c r="D45" i="55"/>
  <c r="D102" s="1"/>
  <c r="F36" i="84"/>
  <c r="F64" s="1"/>
  <c r="G97" i="83"/>
  <c r="F208" i="53"/>
  <c r="F141"/>
  <c r="C32" i="72"/>
  <c r="E119" i="53"/>
  <c r="E52" i="81"/>
  <c r="D21" i="55"/>
  <c r="D78" s="1"/>
  <c r="G55" i="53"/>
  <c r="G108" s="1"/>
  <c r="G124" i="83"/>
  <c r="G97" i="81"/>
  <c r="G14" i="53"/>
  <c r="G67" s="1"/>
  <c r="D25" i="55"/>
  <c r="D82" s="1"/>
  <c r="E56" i="81"/>
  <c r="F150" i="53"/>
  <c r="F217"/>
  <c r="F50" i="83"/>
  <c r="E39" i="55"/>
  <c r="E96" s="1"/>
  <c r="D28"/>
  <c r="D85" s="1"/>
  <c r="E59" i="81"/>
  <c r="G48"/>
  <c r="F17" i="55"/>
  <c r="F74" s="1"/>
  <c r="F46" i="83"/>
  <c r="E35" i="55"/>
  <c r="F209" i="53"/>
  <c r="F142"/>
  <c r="D282" i="55"/>
  <c r="D283"/>
  <c r="D23" i="72"/>
  <c r="D47" s="1"/>
  <c r="E77" i="81"/>
  <c r="F58" i="55"/>
  <c r="F115" s="1"/>
  <c r="G69" i="83"/>
  <c r="E34" i="84"/>
  <c r="E62" s="1"/>
  <c r="F95" i="83"/>
  <c r="E33" i="84"/>
  <c r="F94" i="83"/>
  <c r="C160" i="55"/>
  <c r="E219" s="1"/>
  <c r="E273"/>
  <c r="E65" i="72"/>
  <c r="E64"/>
  <c r="G144" s="1"/>
  <c r="G228" i="53"/>
  <c r="G161"/>
  <c r="G156"/>
  <c r="G223"/>
  <c r="G108" i="83"/>
  <c r="G39" i="53"/>
  <c r="G92" s="1"/>
  <c r="G102" i="83"/>
  <c r="G33" i="53"/>
  <c r="G86" s="1"/>
  <c r="I170" i="29"/>
  <c r="I155"/>
  <c r="I140"/>
  <c r="I125"/>
  <c r="I35"/>
  <c r="H203" i="53"/>
  <c r="H136"/>
  <c r="F237"/>
  <c r="F170"/>
  <c r="F91" i="83"/>
  <c r="E30" i="84"/>
  <c r="E61" s="1"/>
  <c r="E247" i="53"/>
  <c r="E184"/>
  <c r="F114" i="83"/>
  <c r="F45" i="53"/>
  <c r="F98" s="1"/>
  <c r="E60" i="83"/>
  <c r="D49" i="55"/>
  <c r="D106" s="1"/>
  <c r="C153"/>
  <c r="E212" s="1"/>
  <c r="E266"/>
  <c r="F240"/>
  <c r="D127"/>
  <c r="F185" s="1"/>
  <c r="F106" i="81"/>
  <c r="F23" i="53"/>
  <c r="F76" s="1"/>
  <c r="D161" i="55"/>
  <c r="F220" s="1"/>
  <c r="F274"/>
  <c r="F238"/>
  <c r="D125"/>
  <c r="F183" s="1"/>
  <c r="E78" i="81"/>
  <c r="D24" i="72"/>
  <c r="D48" s="1"/>
  <c r="E152" i="55"/>
  <c r="G211" s="1"/>
  <c r="G265"/>
  <c r="E168"/>
  <c r="G227" s="1"/>
  <c r="G278"/>
  <c r="F216" i="53"/>
  <c r="F149"/>
  <c r="G204"/>
  <c r="G137"/>
  <c r="G105" i="83"/>
  <c r="G36" i="53"/>
  <c r="G89" s="1"/>
  <c r="E83" i="81"/>
  <c r="D29" i="72"/>
  <c r="D53" s="1"/>
  <c r="F76" i="83"/>
  <c r="E15" i="84"/>
  <c r="E46" s="1"/>
  <c r="F51" i="83"/>
  <c r="E40" i="55"/>
  <c r="E97" s="1"/>
  <c r="G122" i="83"/>
  <c r="G53" i="53"/>
  <c r="G106" s="1"/>
  <c r="H174" s="1"/>
  <c r="G107" i="83"/>
  <c r="G38" i="53"/>
  <c r="G91" s="1"/>
  <c r="M51" i="22"/>
  <c r="G130" i="53"/>
  <c r="G197"/>
  <c r="E62" i="81"/>
  <c r="D31" i="55"/>
  <c r="D88" s="1"/>
  <c r="F75" i="83"/>
  <c r="E14" i="84"/>
  <c r="F148" i="53"/>
  <c r="F215"/>
  <c r="F237" i="55"/>
  <c r="D124"/>
  <c r="F182" s="1"/>
  <c r="B12" i="84"/>
  <c r="D166" s="1"/>
  <c r="B42"/>
  <c r="D178" i="55"/>
  <c r="D229" s="1"/>
  <c r="F49" i="83"/>
  <c r="E38" i="55"/>
  <c r="E95" s="1"/>
  <c r="F184" i="53"/>
  <c r="G135"/>
  <c r="G202"/>
  <c r="F104" i="81"/>
  <c r="F21" i="53"/>
  <c r="F74" s="1"/>
  <c r="E61" i="83"/>
  <c r="D50" i="55"/>
  <c r="D107" s="1"/>
  <c r="E59" i="83"/>
  <c r="D48" i="55"/>
  <c r="D105" s="1"/>
  <c r="F154" i="72"/>
  <c r="D79"/>
  <c r="D78"/>
  <c r="F141" s="1"/>
  <c r="D20" i="55"/>
  <c r="D77" s="1"/>
  <c r="E51" i="81"/>
  <c r="F63" i="72"/>
  <c r="H140" s="1"/>
  <c r="H153"/>
  <c r="H162" i="53"/>
  <c r="H229"/>
  <c r="D151" i="55"/>
  <c r="F210" s="1"/>
  <c r="F264"/>
  <c r="E114" i="53"/>
  <c r="E115"/>
  <c r="F92" i="83"/>
  <c r="E31" i="84"/>
  <c r="F263" i="55"/>
  <c r="D150"/>
  <c r="F209" s="1"/>
  <c r="F232" i="53"/>
  <c r="F165"/>
  <c r="C120" i="55"/>
  <c r="E233"/>
  <c r="F79" i="83"/>
  <c r="E18" i="84"/>
  <c r="E49" s="1"/>
  <c r="E247" i="55"/>
  <c r="C134"/>
  <c r="E192" s="1"/>
  <c r="D123"/>
  <c r="F181" s="1"/>
  <c r="F236"/>
  <c r="G200" i="53"/>
  <c r="G133"/>
  <c r="F52" i="22"/>
  <c r="F102" i="81"/>
  <c r="F19" i="53"/>
  <c r="F72" s="1"/>
  <c r="G225"/>
  <c r="G158"/>
  <c r="F45" i="22"/>
  <c r="E67"/>
  <c r="F163" i="84"/>
  <c r="D125"/>
  <c r="D142" s="1"/>
  <c r="F155" s="1"/>
  <c r="F168"/>
  <c r="F164"/>
  <c r="D124"/>
  <c r="D141" s="1"/>
  <c r="F169" s="1"/>
  <c r="D126"/>
  <c r="D143" s="1"/>
  <c r="F156" s="1"/>
  <c r="L66" i="22"/>
  <c r="C97" s="1"/>
  <c r="H234" i="55"/>
  <c r="F121"/>
  <c r="H179" s="1"/>
  <c r="M64" i="22"/>
  <c r="N61" s="1"/>
  <c r="E85" i="83"/>
  <c r="D24" i="84"/>
  <c r="D55" s="1"/>
  <c r="E62" i="83"/>
  <c r="D51" i="55"/>
  <c r="D108" s="1"/>
  <c r="G69" i="81"/>
  <c r="F15" i="72"/>
  <c r="F39" s="1"/>
  <c r="G109" i="83"/>
  <c r="G40" i="53"/>
  <c r="G93" s="1"/>
  <c r="G104" i="83"/>
  <c r="G35" i="53"/>
  <c r="G88" s="1"/>
  <c r="G160"/>
  <c r="G227"/>
  <c r="I169" i="29"/>
  <c r="I139"/>
  <c r="I154"/>
  <c r="I124"/>
  <c r="I34"/>
  <c r="E246" i="55"/>
  <c r="C133"/>
  <c r="E191" s="1"/>
  <c r="F259"/>
  <c r="D146"/>
  <c r="F205" s="1"/>
  <c r="E85" i="81"/>
  <c r="D31" i="72"/>
  <c r="D55" s="1"/>
  <c r="H15" i="53"/>
  <c r="H68" s="1"/>
  <c r="H98" i="81"/>
  <c r="I15" i="53" s="1"/>
  <c r="I68" s="1"/>
  <c r="F115" i="83"/>
  <c r="F46" i="53"/>
  <c r="F99" s="1"/>
  <c r="F118" i="83"/>
  <c r="F49" i="53"/>
  <c r="F102" s="1"/>
  <c r="D23" i="84"/>
  <c r="D54" s="1"/>
  <c r="E84" i="83"/>
  <c r="E53" i="81"/>
  <c r="D22" i="55"/>
  <c r="D79" s="1"/>
  <c r="G241" i="53"/>
  <c r="G177"/>
  <c r="E55" i="83"/>
  <c r="D44" i="55"/>
  <c r="D101" s="1"/>
  <c r="F49" i="81"/>
  <c r="E18" i="55"/>
  <c r="E75" s="1"/>
  <c r="E89" i="83"/>
  <c r="D28" i="84"/>
  <c r="D59" s="1"/>
  <c r="F144" i="53"/>
  <c r="F211"/>
  <c r="F63" i="83"/>
  <c r="E52" i="55"/>
  <c r="E109" s="1"/>
  <c r="F47" i="81"/>
  <c r="E16" i="55"/>
  <c r="E73" s="1"/>
  <c r="E253" i="53"/>
  <c r="E80" i="81"/>
  <c r="D26" i="72"/>
  <c r="D50" s="1"/>
  <c r="G54" i="83"/>
  <c r="F43" i="55"/>
  <c r="F100" s="1"/>
  <c r="G70" i="83"/>
  <c r="F59" i="55"/>
  <c r="F116" s="1"/>
  <c r="C39" i="84"/>
  <c r="C144" s="1"/>
  <c r="E157" s="1"/>
  <c r="F111" i="81"/>
  <c r="F28" i="53"/>
  <c r="F81" s="1"/>
  <c r="G16"/>
  <c r="G69" s="1"/>
  <c r="G99" i="81"/>
  <c r="F81" i="83"/>
  <c r="E20" i="84"/>
  <c r="E51" s="1"/>
  <c r="F169" i="53"/>
  <c r="F236"/>
  <c r="F167"/>
  <c r="H170" i="29"/>
  <c r="H140"/>
  <c r="H125"/>
  <c r="H35"/>
  <c r="H155"/>
  <c r="N58" i="22"/>
  <c r="O55" s="1"/>
  <c r="G222" i="53"/>
  <c r="G155"/>
  <c r="F24"/>
  <c r="F77" s="1"/>
  <c r="F107" i="81"/>
  <c r="M52" i="22"/>
  <c r="F21" i="84"/>
  <c r="F52" s="1"/>
  <c r="G82" i="83"/>
  <c r="D37" i="72"/>
  <c r="D70"/>
  <c r="D71"/>
  <c r="F164" i="53"/>
  <c r="F231"/>
  <c r="D68" i="55"/>
  <c r="E46" i="22"/>
  <c r="E65"/>
  <c r="D13" i="69" s="1"/>
  <c r="D15" s="1"/>
  <c r="D45" i="84"/>
  <c r="F110" i="81"/>
  <c r="F27" i="53"/>
  <c r="F80" s="1"/>
  <c r="E15" i="55"/>
  <c r="E72" s="1"/>
  <c r="F46" i="81"/>
  <c r="E60"/>
  <c r="D29" i="55"/>
  <c r="D86" s="1"/>
  <c r="E267"/>
  <c r="C154"/>
  <c r="E213" s="1"/>
  <c r="F93" i="83"/>
  <c r="E32" i="84"/>
  <c r="F20" i="53"/>
  <c r="F73" s="1"/>
  <c r="F103" i="81"/>
  <c r="G240" i="53"/>
  <c r="G176"/>
  <c r="D148" i="55"/>
  <c r="F207" s="1"/>
  <c r="F261"/>
  <c r="E250"/>
  <c r="C137"/>
  <c r="E195" s="1"/>
  <c r="G239"/>
  <c r="E126"/>
  <c r="G184" s="1"/>
  <c r="E251"/>
  <c r="C138"/>
  <c r="E196" s="1"/>
  <c r="F78" i="83"/>
  <c r="E17" i="84"/>
  <c r="E48" s="1"/>
  <c r="F72" i="81"/>
  <c r="E18" i="72"/>
  <c r="E42" s="1"/>
  <c r="F210" i="53"/>
  <c r="F143"/>
  <c r="H68" i="81"/>
  <c r="H14" i="72" s="1"/>
  <c r="H38" s="1"/>
  <c r="G14"/>
  <c r="G38" s="1"/>
  <c r="H110" i="83"/>
  <c r="I41" i="53" s="1"/>
  <c r="I94" s="1"/>
  <c r="H41"/>
  <c r="H94" s="1"/>
  <c r="F53" i="83"/>
  <c r="E42" i="55"/>
  <c r="E99" s="1"/>
  <c r="C132"/>
  <c r="E190" s="1"/>
  <c r="E245"/>
  <c r="D27" i="72"/>
  <c r="D51" s="1"/>
  <c r="E81" i="81"/>
  <c r="E118" i="53"/>
  <c r="J273"/>
  <c r="H32" i="21" s="1"/>
  <c r="F52" i="83"/>
  <c r="E41" i="55"/>
  <c r="E98" s="1"/>
  <c r="F113" i="83"/>
  <c r="F44" i="53"/>
  <c r="F97" s="1"/>
  <c r="G232" s="1"/>
  <c r="C33" i="55"/>
  <c r="E82" i="81"/>
  <c r="D28" i="72"/>
  <c r="D52" s="1"/>
  <c r="D155"/>
  <c r="B12"/>
  <c r="D161"/>
  <c r="B35"/>
  <c r="D156"/>
  <c r="F45" i="81"/>
  <c r="E14" i="55"/>
  <c r="E71" s="1"/>
  <c r="G95" i="81"/>
  <c r="G12" i="53"/>
  <c r="G65" s="1"/>
  <c r="F140"/>
  <c r="F207"/>
  <c r="G106" i="83"/>
  <c r="G37" i="53"/>
  <c r="G90" s="1"/>
  <c r="G242"/>
  <c r="G178"/>
  <c r="H43" i="81"/>
  <c r="H12" i="55" s="1"/>
  <c r="H69" s="1"/>
  <c r="G12"/>
  <c r="G69" s="1"/>
  <c r="F276"/>
  <c r="D166"/>
  <c r="F225" s="1"/>
  <c r="E248"/>
  <c r="C135"/>
  <c r="E193" s="1"/>
  <c r="F206" i="53"/>
  <c r="F139"/>
  <c r="D145" i="55"/>
  <c r="F204" s="1"/>
  <c r="F258"/>
  <c r="F238" i="53"/>
  <c r="F171"/>
  <c r="E55" i="81"/>
  <c r="D24" i="55"/>
  <c r="D81" s="1"/>
  <c r="F96" i="83"/>
  <c r="E35" i="84"/>
  <c r="E63" s="1"/>
  <c r="F48" i="83"/>
  <c r="E37" i="55"/>
  <c r="E94" s="1"/>
  <c r="I51" i="22"/>
  <c r="F275" i="55"/>
  <c r="D165"/>
  <c r="F224" s="1"/>
  <c r="D26" i="84"/>
  <c r="D57" s="1"/>
  <c r="E87" i="83"/>
  <c r="C155" i="55"/>
  <c r="E214" s="1"/>
  <c r="E268"/>
  <c r="E170" i="84"/>
  <c r="E154"/>
  <c r="E159" s="1"/>
  <c r="G134" i="53"/>
  <c r="G201"/>
  <c r="C131" i="55"/>
  <c r="E189" s="1"/>
  <c r="E244"/>
  <c r="D29" i="84"/>
  <c r="D60" s="1"/>
  <c r="E90" i="83"/>
  <c r="G56" i="53"/>
  <c r="G109" s="1"/>
  <c r="G125" i="83"/>
  <c r="E249" i="55"/>
  <c r="C136"/>
  <c r="E194" s="1"/>
  <c r="F235" i="53"/>
  <c r="F168"/>
  <c r="G235" i="55"/>
  <c r="E122"/>
  <c r="G180" s="1"/>
  <c r="F108" i="81"/>
  <c r="F25" i="53"/>
  <c r="F78" s="1"/>
  <c r="H199"/>
  <c r="H132"/>
  <c r="C156" i="55"/>
  <c r="E215" s="1"/>
  <c r="E269"/>
  <c r="F142" i="72"/>
  <c r="F160"/>
  <c r="F252" i="55"/>
  <c r="D139"/>
  <c r="F197" s="1"/>
  <c r="G239" i="53"/>
  <c r="G175"/>
  <c r="F19" i="72"/>
  <c r="F43" s="1"/>
  <c r="G73" i="81"/>
  <c r="F117" i="83"/>
  <c r="F48" i="53"/>
  <c r="F101" s="1"/>
  <c r="E83" i="83"/>
  <c r="D22" i="84"/>
  <c r="D53" s="1"/>
  <c r="G34" i="53"/>
  <c r="G87" s="1"/>
  <c r="G103" i="83"/>
  <c r="F212" i="53"/>
  <c r="F145"/>
  <c r="H241" i="55"/>
  <c r="F128"/>
  <c r="H186" s="1"/>
  <c r="F67" i="81"/>
  <c r="E13" i="72"/>
  <c r="E16"/>
  <c r="E40" s="1"/>
  <c r="F70" i="81"/>
  <c r="F112" i="83"/>
  <c r="F43" i="53"/>
  <c r="F96" s="1"/>
  <c r="D25" i="84"/>
  <c r="D56" s="1"/>
  <c r="E86" i="83"/>
  <c r="E11" i="55"/>
  <c r="F42" i="81"/>
  <c r="C61" i="55"/>
  <c r="C10" s="1"/>
  <c r="D27" i="84"/>
  <c r="D58" s="1"/>
  <c r="E88" i="83"/>
  <c r="H75" i="81"/>
  <c r="H21" i="72" s="1"/>
  <c r="H45" s="1"/>
  <c r="G21"/>
  <c r="G45" s="1"/>
  <c r="E254" i="53"/>
  <c r="F132" i="83" l="1"/>
  <c r="G285" i="55"/>
  <c r="G284"/>
  <c r="B12" i="21"/>
  <c r="C171" i="29" s="1"/>
  <c r="E16" i="61"/>
  <c r="F7" s="1"/>
  <c r="E289" i="55" s="1"/>
  <c r="E191" i="53"/>
  <c r="F34" i="61" s="1"/>
  <c r="L68" i="22"/>
  <c r="M39"/>
  <c r="F15" i="61"/>
  <c r="G6" s="1"/>
  <c r="F118" i="53"/>
  <c r="G187" s="1"/>
  <c r="F253"/>
  <c r="F86" i="83"/>
  <c r="E25" i="84"/>
  <c r="E56" s="1"/>
  <c r="G70" i="81"/>
  <c r="F16" i="72"/>
  <c r="F40" s="1"/>
  <c r="H73" i="81"/>
  <c r="H19" i="72" s="1"/>
  <c r="H43" s="1"/>
  <c r="G19"/>
  <c r="G43" s="1"/>
  <c r="F90" i="83"/>
  <c r="E29" i="84"/>
  <c r="E60" s="1"/>
  <c r="G96" i="83"/>
  <c r="F35" i="84"/>
  <c r="F63" s="1"/>
  <c r="M44" i="22"/>
  <c r="M46" s="1"/>
  <c r="M65"/>
  <c r="H106" i="83"/>
  <c r="I37" i="53" s="1"/>
  <c r="I90" s="1"/>
  <c r="H37"/>
  <c r="H90" s="1"/>
  <c r="H95" i="81"/>
  <c r="I12" i="53" s="1"/>
  <c r="I65" s="1"/>
  <c r="H12"/>
  <c r="H65" s="1"/>
  <c r="D146" i="72"/>
  <c r="D148" s="1"/>
  <c r="D159"/>
  <c r="G113" i="83"/>
  <c r="G44" i="53"/>
  <c r="G97" s="1"/>
  <c r="F250"/>
  <c r="F187"/>
  <c r="J229"/>
  <c r="J162"/>
  <c r="G78" i="83"/>
  <c r="F17" i="84"/>
  <c r="F48" s="1"/>
  <c r="G208" i="53"/>
  <c r="G141"/>
  <c r="F15" i="55"/>
  <c r="F72" s="1"/>
  <c r="G46" i="81"/>
  <c r="D39" i="84"/>
  <c r="D144" s="1"/>
  <c r="F157" s="1"/>
  <c r="D33" i="55"/>
  <c r="G21" i="84"/>
  <c r="G52" s="1"/>
  <c r="H82" i="83"/>
  <c r="H21" i="84" s="1"/>
  <c r="H52" s="1"/>
  <c r="G212" i="53"/>
  <c r="G145"/>
  <c r="G149"/>
  <c r="G216"/>
  <c r="H70" i="83"/>
  <c r="H59" i="55" s="1"/>
  <c r="H116" s="1"/>
  <c r="G59"/>
  <c r="G116" s="1"/>
  <c r="E26" i="72"/>
  <c r="E50" s="1"/>
  <c r="F80" i="81"/>
  <c r="E161" i="55"/>
  <c r="G220" s="1"/>
  <c r="G274"/>
  <c r="D153"/>
  <c r="F212" s="1"/>
  <c r="F266"/>
  <c r="D131"/>
  <c r="F189" s="1"/>
  <c r="F244"/>
  <c r="F84" i="83"/>
  <c r="E23" i="84"/>
  <c r="E54" s="1"/>
  <c r="G234" i="53"/>
  <c r="G167"/>
  <c r="H40"/>
  <c r="H93" s="1"/>
  <c r="H109" i="83"/>
  <c r="I40" i="53" s="1"/>
  <c r="I93" s="1"/>
  <c r="F62" i="83"/>
  <c r="E51" i="55"/>
  <c r="E108" s="1"/>
  <c r="F154" i="84"/>
  <c r="F170"/>
  <c r="G49" i="22"/>
  <c r="G79" i="83"/>
  <c r="F18" i="84"/>
  <c r="F49" s="1"/>
  <c r="F59" i="83"/>
  <c r="E48" i="55"/>
  <c r="E105" s="1"/>
  <c r="G21" i="53"/>
  <c r="G74" s="1"/>
  <c r="G104" i="81"/>
  <c r="F253" i="55"/>
  <c r="D140"/>
  <c r="F198" s="1"/>
  <c r="H38" i="53"/>
  <c r="H91" s="1"/>
  <c r="H107" i="83"/>
  <c r="I38" i="53" s="1"/>
  <c r="I91" s="1"/>
  <c r="G51" i="83"/>
  <c r="F40" i="55"/>
  <c r="F97" s="1"/>
  <c r="F83" i="81"/>
  <c r="E29" i="72"/>
  <c r="E53" s="1"/>
  <c r="E24"/>
  <c r="E48" s="1"/>
  <c r="F78" i="81"/>
  <c r="F60" i="83"/>
  <c r="E49" i="55"/>
  <c r="E106" s="1"/>
  <c r="H154" i="53"/>
  <c r="H221"/>
  <c r="F33" i="84"/>
  <c r="G94" i="83"/>
  <c r="G33" i="84" s="1"/>
  <c r="D95" i="72"/>
  <c r="F139" s="1"/>
  <c r="D96"/>
  <c r="F152"/>
  <c r="H48" i="81"/>
  <c r="H17" i="55" s="1"/>
  <c r="H74" s="1"/>
  <c r="G17"/>
  <c r="G74" s="1"/>
  <c r="G50" i="83"/>
  <c r="F39" i="55"/>
  <c r="F96" s="1"/>
  <c r="F247"/>
  <c r="D134"/>
  <c r="F192" s="1"/>
  <c r="H176" i="53"/>
  <c r="H240"/>
  <c r="E155" i="72"/>
  <c r="C35"/>
  <c r="E161"/>
  <c r="E156"/>
  <c r="C12"/>
  <c r="G217" i="53"/>
  <c r="G150"/>
  <c r="F245" i="55"/>
  <c r="D132"/>
  <c r="F190" s="1"/>
  <c r="G128"/>
  <c r="I186" s="1"/>
  <c r="I241"/>
  <c r="H123" i="83"/>
  <c r="I54" i="53" s="1"/>
  <c r="I107" s="1"/>
  <c r="H54"/>
  <c r="H107" s="1"/>
  <c r="D156" i="55"/>
  <c r="F215" s="1"/>
  <c r="F269"/>
  <c r="I199" i="53"/>
  <c r="I132"/>
  <c r="G13" i="55"/>
  <c r="G70" s="1"/>
  <c r="H44" i="81"/>
  <c r="H13" i="55" s="1"/>
  <c r="H70" s="1"/>
  <c r="F58" i="81"/>
  <c r="E27" i="55"/>
  <c r="E84" s="1"/>
  <c r="F57" i="83"/>
  <c r="E46" i="55"/>
  <c r="E103" s="1"/>
  <c r="G275"/>
  <c r="E165"/>
  <c r="G224" s="1"/>
  <c r="G238" i="53"/>
  <c r="G171"/>
  <c r="E145" i="55"/>
  <c r="G204" s="1"/>
  <c r="G258"/>
  <c r="G139" i="53"/>
  <c r="G206"/>
  <c r="F248" i="55"/>
  <c r="D135"/>
  <c r="F193" s="1"/>
  <c r="H242" i="53"/>
  <c r="H178"/>
  <c r="N38" i="22"/>
  <c r="E70" i="72"/>
  <c r="E71"/>
  <c r="H103" i="83"/>
  <c r="I34" i="53" s="1"/>
  <c r="I87" s="1"/>
  <c r="H34"/>
  <c r="H87" s="1"/>
  <c r="E22" i="84"/>
  <c r="E53" s="1"/>
  <c r="F83" i="83"/>
  <c r="G259" i="55"/>
  <c r="E146"/>
  <c r="G205" s="1"/>
  <c r="F246"/>
  <c r="D133"/>
  <c r="F191" s="1"/>
  <c r="G121"/>
  <c r="I179" s="1"/>
  <c r="I234"/>
  <c r="G236"/>
  <c r="E123"/>
  <c r="G181" s="1"/>
  <c r="E28" i="72"/>
  <c r="E52" s="1"/>
  <c r="F82" i="81"/>
  <c r="G263" i="55"/>
  <c r="E150"/>
  <c r="G209" s="1"/>
  <c r="F81" i="81"/>
  <c r="E27" i="72"/>
  <c r="E51" s="1"/>
  <c r="E151" i="55"/>
  <c r="G210" s="1"/>
  <c r="G264"/>
  <c r="I153" i="72"/>
  <c r="G63"/>
  <c r="I140" s="1"/>
  <c r="G154"/>
  <c r="E78"/>
  <c r="G141" s="1"/>
  <c r="E79"/>
  <c r="F251" i="55"/>
  <c r="D138"/>
  <c r="F196" s="1"/>
  <c r="E124"/>
  <c r="G182" s="1"/>
  <c r="G237"/>
  <c r="D120"/>
  <c r="F233"/>
  <c r="G81" i="83"/>
  <c r="F20" i="84"/>
  <c r="F51" s="1"/>
  <c r="G111" i="81"/>
  <c r="G28" i="53"/>
  <c r="G81" s="1"/>
  <c r="F152" i="55"/>
  <c r="H211" s="1"/>
  <c r="H265"/>
  <c r="F52"/>
  <c r="F109" s="1"/>
  <c r="G63" i="83"/>
  <c r="F89"/>
  <c r="E28" i="84"/>
  <c r="E59" s="1"/>
  <c r="F55" i="83"/>
  <c r="E44" i="55"/>
  <c r="E101" s="1"/>
  <c r="F53" i="81"/>
  <c r="E22" i="55"/>
  <c r="E79" s="1"/>
  <c r="G115" i="83"/>
  <c r="G46" i="53"/>
  <c r="G99" s="1"/>
  <c r="F85" i="81"/>
  <c r="E31" i="72"/>
  <c r="E55" s="1"/>
  <c r="H223" i="53"/>
  <c r="H156"/>
  <c r="F65" i="72"/>
  <c r="F64"/>
  <c r="H144" s="1"/>
  <c r="G207" i="53"/>
  <c r="G140"/>
  <c r="G165"/>
  <c r="G92" i="83"/>
  <c r="G31" i="84" s="1"/>
  <c r="F31"/>
  <c r="D159" i="55"/>
  <c r="F218" s="1"/>
  <c r="F272"/>
  <c r="C12" i="21"/>
  <c r="D165" i="84"/>
  <c r="D167"/>
  <c r="E31" i="55"/>
  <c r="E88" s="1"/>
  <c r="F62" i="81"/>
  <c r="F114" i="53"/>
  <c r="H224"/>
  <c r="H157"/>
  <c r="G211"/>
  <c r="G144"/>
  <c r="G233"/>
  <c r="G166"/>
  <c r="H33"/>
  <c r="H86" s="1"/>
  <c r="H102" i="83"/>
  <c r="I33" i="53" s="1"/>
  <c r="I86" s="1"/>
  <c r="G142" i="72"/>
  <c r="G160"/>
  <c r="H69" i="83"/>
  <c r="H58" i="55" s="1"/>
  <c r="H115" s="1"/>
  <c r="G58"/>
  <c r="G115" s="1"/>
  <c r="E92"/>
  <c r="E28"/>
  <c r="E85" s="1"/>
  <c r="F59" i="81"/>
  <c r="H135" i="53"/>
  <c r="H202"/>
  <c r="F243" i="55"/>
  <c r="D130"/>
  <c r="F188" s="1"/>
  <c r="F267"/>
  <c r="D154"/>
  <c r="F213" s="1"/>
  <c r="G112" i="81"/>
  <c r="G29" i="53"/>
  <c r="G82" s="1"/>
  <c r="E23" i="55"/>
  <c r="E80" s="1"/>
  <c r="F54" i="81"/>
  <c r="E22" i="72"/>
  <c r="E46" s="1"/>
  <c r="F76" i="81"/>
  <c r="J241" i="55"/>
  <c r="H128"/>
  <c r="J186" s="1"/>
  <c r="H175" i="53"/>
  <c r="H239"/>
  <c r="H52"/>
  <c r="H105" s="1"/>
  <c r="I173" s="1"/>
  <c r="H121" i="83"/>
  <c r="I52" i="53" s="1"/>
  <c r="I105" s="1"/>
  <c r="F58" i="83"/>
  <c r="E47" i="55"/>
  <c r="E104" s="1"/>
  <c r="G47" i="53"/>
  <c r="G100" s="1"/>
  <c r="G116" i="83"/>
  <c r="H201" i="53"/>
  <c r="H134"/>
  <c r="G74" i="81"/>
  <c r="F20" i="72"/>
  <c r="F44" s="1"/>
  <c r="G67" i="83"/>
  <c r="F56" i="55"/>
  <c r="F113" s="1"/>
  <c r="G119" i="83"/>
  <c r="G50" i="53"/>
  <c r="G103" s="1"/>
  <c r="G47" i="83"/>
  <c r="F36" i="55"/>
  <c r="F93" s="1"/>
  <c r="G101" i="81"/>
  <c r="G18" i="53"/>
  <c r="G71" s="1"/>
  <c r="F57" i="81"/>
  <c r="E26" i="55"/>
  <c r="E83" s="1"/>
  <c r="H57" i="53"/>
  <c r="H110" s="1"/>
  <c r="H126" i="83"/>
  <c r="I57" i="53" s="1"/>
  <c r="I110" s="1"/>
  <c r="G42" i="81"/>
  <c r="F11" i="55"/>
  <c r="G164" i="53"/>
  <c r="G231"/>
  <c r="E37" i="72"/>
  <c r="H155" i="53"/>
  <c r="H222"/>
  <c r="G236"/>
  <c r="G169"/>
  <c r="G213"/>
  <c r="G146"/>
  <c r="H125" i="83"/>
  <c r="I56" i="53" s="1"/>
  <c r="I109" s="1"/>
  <c r="H56"/>
  <c r="H109" s="1"/>
  <c r="C13" i="21"/>
  <c r="F39" i="61"/>
  <c r="G48" i="83"/>
  <c r="F37" i="55"/>
  <c r="F94" s="1"/>
  <c r="F55" i="81"/>
  <c r="E24" i="55"/>
  <c r="E81" s="1"/>
  <c r="H121"/>
  <c r="J234"/>
  <c r="G45" i="81"/>
  <c r="F14" i="55"/>
  <c r="F71" s="1"/>
  <c r="D157" i="72"/>
  <c r="D158"/>
  <c r="C65" i="55"/>
  <c r="E200" s="1"/>
  <c r="G52" i="83"/>
  <c r="F41" i="55"/>
  <c r="F98" s="1"/>
  <c r="G53" i="83"/>
  <c r="F42" i="55"/>
  <c r="F99" s="1"/>
  <c r="H63" i="72"/>
  <c r="J140" s="1"/>
  <c r="J153"/>
  <c r="G72" i="81"/>
  <c r="F18" i="72"/>
  <c r="F42" s="1"/>
  <c r="G93" i="83"/>
  <c r="G32" i="84" s="1"/>
  <c r="F32"/>
  <c r="F60" i="81"/>
  <c r="E29" i="55"/>
  <c r="E86" s="1"/>
  <c r="G215" i="53"/>
  <c r="G148"/>
  <c r="N49" i="22"/>
  <c r="H99" i="81"/>
  <c r="I16" i="53" s="1"/>
  <c r="I69" s="1"/>
  <c r="H16"/>
  <c r="H69" s="1"/>
  <c r="C12" i="84"/>
  <c r="E166" s="1"/>
  <c r="C42"/>
  <c r="H54" i="83"/>
  <c r="H43" i="55" s="1"/>
  <c r="H100" s="1"/>
  <c r="G43"/>
  <c r="G100" s="1"/>
  <c r="G238"/>
  <c r="E125"/>
  <c r="G183" s="1"/>
  <c r="G240"/>
  <c r="E127"/>
  <c r="G185" s="1"/>
  <c r="G170" i="53"/>
  <c r="G237"/>
  <c r="J203"/>
  <c r="J136"/>
  <c r="H104" i="83"/>
  <c r="I35" i="53" s="1"/>
  <c r="I88" s="1"/>
  <c r="H35"/>
  <c r="H88" s="1"/>
  <c r="H69" i="81"/>
  <c r="H15" i="72" s="1"/>
  <c r="H39" s="1"/>
  <c r="G15"/>
  <c r="G39" s="1"/>
  <c r="F85" i="83"/>
  <c r="E24" i="84"/>
  <c r="E55" s="1"/>
  <c r="G45" i="22"/>
  <c r="F67"/>
  <c r="G102" i="81"/>
  <c r="G19" i="53"/>
  <c r="G72" s="1"/>
  <c r="E178" i="55"/>
  <c r="F183" i="53"/>
  <c r="F246"/>
  <c r="E20" i="55"/>
  <c r="E77" s="1"/>
  <c r="F51" i="81"/>
  <c r="F61" i="83"/>
  <c r="E50" i="55"/>
  <c r="E107" s="1"/>
  <c r="E147"/>
  <c r="G206" s="1"/>
  <c r="G260"/>
  <c r="E45" i="84"/>
  <c r="F119" i="53"/>
  <c r="F116"/>
  <c r="H53"/>
  <c r="H106" s="1"/>
  <c r="I174" s="1"/>
  <c r="H122" i="83"/>
  <c r="I53" i="53" s="1"/>
  <c r="I106" s="1"/>
  <c r="G76" i="83"/>
  <c r="F15" i="84"/>
  <c r="F46" s="1"/>
  <c r="H36" i="53"/>
  <c r="H89" s="1"/>
  <c r="H105" i="83"/>
  <c r="I36" i="53" s="1"/>
  <c r="I89" s="1"/>
  <c r="G106" i="81"/>
  <c r="G23" i="53"/>
  <c r="G76" s="1"/>
  <c r="G114" i="83"/>
  <c r="G45" i="53"/>
  <c r="G98" s="1"/>
  <c r="G91" i="83"/>
  <c r="F30" i="84"/>
  <c r="F61" s="1"/>
  <c r="H160" i="53"/>
  <c r="H227"/>
  <c r="F34" i="84"/>
  <c r="F62" s="1"/>
  <c r="G95" i="83"/>
  <c r="H277" i="55"/>
  <c r="F167"/>
  <c r="H226" s="1"/>
  <c r="G46" i="83"/>
  <c r="F35" i="55"/>
  <c r="F250"/>
  <c r="D137"/>
  <c r="F195" s="1"/>
  <c r="H14" i="53"/>
  <c r="H67" s="1"/>
  <c r="H97" i="81"/>
  <c r="I14" i="53" s="1"/>
  <c r="I67" s="1"/>
  <c r="F52" i="81"/>
  <c r="E21" i="55"/>
  <c r="E78" s="1"/>
  <c r="F56" i="83"/>
  <c r="E45" i="55"/>
  <c r="E102" s="1"/>
  <c r="D61"/>
  <c r="D10" s="1"/>
  <c r="G143" i="53"/>
  <c r="G210"/>
  <c r="H197"/>
  <c r="H130"/>
  <c r="G252" i="55"/>
  <c r="E139"/>
  <c r="G197" s="1"/>
  <c r="F19" i="84"/>
  <c r="F50" s="1"/>
  <c r="G80" i="83"/>
  <c r="G235" i="53"/>
  <c r="G168"/>
  <c r="H13"/>
  <c r="H66" s="1"/>
  <c r="H96" i="81"/>
  <c r="I13" i="53" s="1"/>
  <c r="I66" s="1"/>
  <c r="E30" i="72"/>
  <c r="E54" s="1"/>
  <c r="F84" i="81"/>
  <c r="G276" i="55"/>
  <c r="E166"/>
  <c r="G225" s="1"/>
  <c r="F88" i="83"/>
  <c r="E27" i="84"/>
  <c r="E58" s="1"/>
  <c r="E68" i="55"/>
  <c r="G112" i="83"/>
  <c r="G43" i="53"/>
  <c r="G96" s="1"/>
  <c r="G67" i="81"/>
  <c r="F13" i="72"/>
  <c r="G117" i="83"/>
  <c r="G48" i="53"/>
  <c r="G101" s="1"/>
  <c r="G108" i="81"/>
  <c r="G25" i="53"/>
  <c r="G78" s="1"/>
  <c r="H241"/>
  <c r="H177"/>
  <c r="E26" i="84"/>
  <c r="E57" s="1"/>
  <c r="F87" i="83"/>
  <c r="H158" i="53"/>
  <c r="H225"/>
  <c r="H133"/>
  <c r="H200"/>
  <c r="I162"/>
  <c r="I229"/>
  <c r="G103" i="81"/>
  <c r="G20" i="53"/>
  <c r="G73" s="1"/>
  <c r="G110" i="81"/>
  <c r="G27" i="53"/>
  <c r="G80" s="1"/>
  <c r="F43" i="22"/>
  <c r="E68"/>
  <c r="G17" s="1"/>
  <c r="G23" s="1"/>
  <c r="D35" i="21" s="1"/>
  <c r="D36" s="1"/>
  <c r="D32" i="72"/>
  <c r="G107" i="81"/>
  <c r="G24" i="53"/>
  <c r="G77" s="1"/>
  <c r="O56" i="22"/>
  <c r="O57" s="1"/>
  <c r="H137" i="53"/>
  <c r="H204"/>
  <c r="F168" i="55"/>
  <c r="H227" s="1"/>
  <c r="H278"/>
  <c r="G47" i="81"/>
  <c r="F16" i="55"/>
  <c r="F73" s="1"/>
  <c r="F18"/>
  <c r="F75" s="1"/>
  <c r="G49" i="81"/>
  <c r="G118" i="83"/>
  <c r="G49" i="53"/>
  <c r="G102" s="1"/>
  <c r="I203"/>
  <c r="I136"/>
  <c r="H161"/>
  <c r="H228"/>
  <c r="D160" i="55"/>
  <c r="F219" s="1"/>
  <c r="F273"/>
  <c r="N62" i="22"/>
  <c r="N63" s="1"/>
  <c r="F245" i="53"/>
  <c r="F182"/>
  <c r="F254"/>
  <c r="F242" i="55"/>
  <c r="D129"/>
  <c r="F187" s="1"/>
  <c r="D157"/>
  <c r="F216" s="1"/>
  <c r="F270"/>
  <c r="G209" i="53"/>
  <c r="G142"/>
  <c r="G49" i="83"/>
  <c r="F38" i="55"/>
  <c r="F95" s="1"/>
  <c r="E36" i="61"/>
  <c r="B8" i="21"/>
  <c r="G75" i="83"/>
  <c r="F14" i="84"/>
  <c r="F115" i="53"/>
  <c r="H226"/>
  <c r="H159"/>
  <c r="E149" i="55"/>
  <c r="G208" s="1"/>
  <c r="G262"/>
  <c r="F271"/>
  <c r="D158"/>
  <c r="F217" s="1"/>
  <c r="H39" i="53"/>
  <c r="H92" s="1"/>
  <c r="H108" i="83"/>
  <c r="I39" i="53" s="1"/>
  <c r="I92" s="1"/>
  <c r="G163" i="84"/>
  <c r="E125"/>
  <c r="E142" s="1"/>
  <c r="G155" s="1"/>
  <c r="G168"/>
  <c r="G164"/>
  <c r="E124"/>
  <c r="E141" s="1"/>
  <c r="G169" s="1"/>
  <c r="E126"/>
  <c r="E143" s="1"/>
  <c r="G156" s="1"/>
  <c r="E23" i="72"/>
  <c r="E47" s="1"/>
  <c r="F77" i="81"/>
  <c r="H239" i="55"/>
  <c r="F126"/>
  <c r="H184" s="1"/>
  <c r="E148"/>
  <c r="G207" s="1"/>
  <c r="G261"/>
  <c r="F56" i="81"/>
  <c r="E25" i="55"/>
  <c r="E82" s="1"/>
  <c r="H124" i="83"/>
  <c r="I55" i="53" s="1"/>
  <c r="I108" s="1"/>
  <c r="H55"/>
  <c r="H108" s="1"/>
  <c r="F251"/>
  <c r="F188"/>
  <c r="H97" i="83"/>
  <c r="H36" i="84" s="1"/>
  <c r="H64" s="1"/>
  <c r="G36"/>
  <c r="G64" s="1"/>
  <c r="D144" i="55"/>
  <c r="F203" s="1"/>
  <c r="F257"/>
  <c r="G105" i="81"/>
  <c r="G22" i="53"/>
  <c r="G75" s="1"/>
  <c r="H92" i="81"/>
  <c r="I9" i="53" s="1"/>
  <c r="I62" s="1"/>
  <c r="H9"/>
  <c r="H62" s="1"/>
  <c r="G61" i="81"/>
  <c r="F30" i="55"/>
  <c r="F87" s="1"/>
  <c r="H98" i="83"/>
  <c r="H37" i="84" s="1"/>
  <c r="H65" s="1"/>
  <c r="G37"/>
  <c r="G65" s="1"/>
  <c r="C37" i="29"/>
  <c r="C142"/>
  <c r="C127"/>
  <c r="C172"/>
  <c r="C157"/>
  <c r="J199" i="53"/>
  <c r="J132"/>
  <c r="H235" i="55"/>
  <c r="F122"/>
  <c r="H180" s="1"/>
  <c r="F249"/>
  <c r="D136"/>
  <c r="F194" s="1"/>
  <c r="D155"/>
  <c r="F214" s="1"/>
  <c r="F268"/>
  <c r="D260" i="53"/>
  <c r="D262" s="1"/>
  <c r="F6" i="61"/>
  <c r="G77" i="83"/>
  <c r="F16" i="84"/>
  <c r="F47" s="1"/>
  <c r="F79" i="81"/>
  <c r="E25" i="72"/>
  <c r="E49" s="1"/>
  <c r="F17"/>
  <c r="F41" s="1"/>
  <c r="G71" i="81"/>
  <c r="F57" i="55"/>
  <c r="F114" s="1"/>
  <c r="G68" i="83"/>
  <c r="J179" i="55" l="1"/>
  <c r="F159" i="84"/>
  <c r="D13" i="21" s="1"/>
  <c r="C156" i="29"/>
  <c r="C126"/>
  <c r="C141"/>
  <c r="C36"/>
  <c r="G132" i="83"/>
  <c r="H285" i="55"/>
  <c r="H284"/>
  <c r="D290"/>
  <c r="D292" s="1"/>
  <c r="D302" s="1"/>
  <c r="D305" s="1"/>
  <c r="G250" i="53"/>
  <c r="E260"/>
  <c r="E161" i="29"/>
  <c r="E131"/>
  <c r="E176"/>
  <c r="E24" i="68"/>
  <c r="E146" i="29"/>
  <c r="E45"/>
  <c r="N64" i="22"/>
  <c r="O61" s="1"/>
  <c r="O62" s="1"/>
  <c r="O63" s="1"/>
  <c r="N39"/>
  <c r="E17" i="61"/>
  <c r="D167" i="72" s="1"/>
  <c r="D169" s="1"/>
  <c r="N40" i="22"/>
  <c r="O37" s="1"/>
  <c r="O38" s="1"/>
  <c r="O39" s="1"/>
  <c r="G115" i="53"/>
  <c r="H246" s="1"/>
  <c r="G118"/>
  <c r="H187" s="1"/>
  <c r="J173"/>
  <c r="N43" i="22"/>
  <c r="N65" s="1"/>
  <c r="M68"/>
  <c r="H250" i="53"/>
  <c r="H276" i="55"/>
  <c r="F166"/>
  <c r="H225" s="1"/>
  <c r="E47" i="61"/>
  <c r="D274" i="53"/>
  <c r="D276" s="1"/>
  <c r="B22" i="21"/>
  <c r="H49" i="83"/>
  <c r="H38" i="55" s="1"/>
  <c r="H95" s="1"/>
  <c r="G38"/>
  <c r="G95" s="1"/>
  <c r="G18"/>
  <c r="G75" s="1"/>
  <c r="H49" i="81"/>
  <c r="H18" i="55" s="1"/>
  <c r="H75" s="1"/>
  <c r="F155" i="72"/>
  <c r="D35"/>
  <c r="F156"/>
  <c r="F161"/>
  <c r="D12"/>
  <c r="H27" i="53"/>
  <c r="H80" s="1"/>
  <c r="H110" i="81"/>
  <c r="I27" i="53" s="1"/>
  <c r="I80" s="1"/>
  <c r="H20"/>
  <c r="H73" s="1"/>
  <c r="H103" i="81"/>
  <c r="I20" i="53" s="1"/>
  <c r="I73" s="1"/>
  <c r="H117" i="83"/>
  <c r="I48" i="53" s="1"/>
  <c r="I101" s="1"/>
  <c r="H48"/>
  <c r="H101" s="1"/>
  <c r="H112" i="83"/>
  <c r="I43" i="53" s="1"/>
  <c r="I96" s="1"/>
  <c r="H43"/>
  <c r="H96" s="1"/>
  <c r="G88" i="83"/>
  <c r="F27" i="84"/>
  <c r="F58" s="1"/>
  <c r="G84" i="81"/>
  <c r="F30" i="72"/>
  <c r="F54" s="1"/>
  <c r="G267" i="55"/>
  <c r="E154"/>
  <c r="G213" s="1"/>
  <c r="J202" i="53"/>
  <c r="J135"/>
  <c r="F92" i="55"/>
  <c r="H95" i="83"/>
  <c r="H34" i="84" s="1"/>
  <c r="H62" s="1"/>
  <c r="G34"/>
  <c r="G62" s="1"/>
  <c r="H211" i="53"/>
  <c r="H144"/>
  <c r="G247"/>
  <c r="G184"/>
  <c r="G51" i="81"/>
  <c r="F20" i="55"/>
  <c r="F77" s="1"/>
  <c r="H19" i="53"/>
  <c r="H72" s="1"/>
  <c r="H102" i="81"/>
  <c r="I19" i="53" s="1"/>
  <c r="I72" s="1"/>
  <c r="G85" i="83"/>
  <c r="F24" i="84"/>
  <c r="F55" s="1"/>
  <c r="J156" i="53"/>
  <c r="J223"/>
  <c r="E165" i="84"/>
  <c r="E167"/>
  <c r="G60" i="81"/>
  <c r="F29" i="55"/>
  <c r="F86" s="1"/>
  <c r="H72" i="81"/>
  <c r="H18" i="72" s="1"/>
  <c r="H42" s="1"/>
  <c r="G18"/>
  <c r="G42" s="1"/>
  <c r="G42" i="55"/>
  <c r="G99" s="1"/>
  <c r="H53" i="83"/>
  <c r="H42" i="55" s="1"/>
  <c r="H99" s="1"/>
  <c r="E282"/>
  <c r="E283"/>
  <c r="H45" i="81"/>
  <c r="H14" i="55" s="1"/>
  <c r="H71" s="1"/>
  <c r="G14"/>
  <c r="G71" s="1"/>
  <c r="G55" i="81"/>
  <c r="F24" i="55"/>
  <c r="F81" s="1"/>
  <c r="J242" i="53"/>
  <c r="J178"/>
  <c r="H206"/>
  <c r="H139"/>
  <c r="H171"/>
  <c r="H238"/>
  <c r="H47"/>
  <c r="H100" s="1"/>
  <c r="H116" i="83"/>
  <c r="I47" i="53" s="1"/>
  <c r="I100" s="1"/>
  <c r="F23" i="55"/>
  <c r="F80" s="1"/>
  <c r="G54" i="81"/>
  <c r="G250" i="55"/>
  <c r="E137"/>
  <c r="G195" s="1"/>
  <c r="H167"/>
  <c r="J277"/>
  <c r="I221" i="53"/>
  <c r="I154"/>
  <c r="G244" i="55"/>
  <c r="E131"/>
  <c r="G189" s="1"/>
  <c r="G81" i="81"/>
  <c r="F27" i="72"/>
  <c r="F51" s="1"/>
  <c r="J155" i="53"/>
  <c r="J222"/>
  <c r="G58" i="81"/>
  <c r="F27" i="55"/>
  <c r="F84" s="1"/>
  <c r="I175" i="53"/>
  <c r="I239"/>
  <c r="E146" i="72"/>
  <c r="E148" s="1"/>
  <c r="E159"/>
  <c r="G126" i="55"/>
  <c r="I184" s="1"/>
  <c r="I239"/>
  <c r="F24" i="72"/>
  <c r="F48" s="1"/>
  <c r="G78" i="81"/>
  <c r="F149" i="55"/>
  <c r="H208" s="1"/>
  <c r="H262"/>
  <c r="H142" i="53"/>
  <c r="H209"/>
  <c r="G18" i="84"/>
  <c r="G49" s="1"/>
  <c r="H79" i="83"/>
  <c r="H18" i="84" s="1"/>
  <c r="H49" s="1"/>
  <c r="E160" i="55"/>
  <c r="G219" s="1"/>
  <c r="G273"/>
  <c r="G168"/>
  <c r="I227" s="1"/>
  <c r="I278"/>
  <c r="D65"/>
  <c r="F200" s="1"/>
  <c r="H232" i="53"/>
  <c r="H165"/>
  <c r="I133"/>
  <c r="I200"/>
  <c r="G35" i="84"/>
  <c r="G63" s="1"/>
  <c r="H96" i="83"/>
  <c r="H35" i="84" s="1"/>
  <c r="H63" s="1"/>
  <c r="E259" i="53"/>
  <c r="E262" s="1"/>
  <c r="G247" i="55"/>
  <c r="E134"/>
  <c r="G192" s="1"/>
  <c r="H71" i="81"/>
  <c r="H17" i="72" s="1"/>
  <c r="H41" s="1"/>
  <c r="G17"/>
  <c r="G41" s="1"/>
  <c r="J130" i="53"/>
  <c r="J197"/>
  <c r="G56" i="81"/>
  <c r="F25" i="55"/>
  <c r="F82" s="1"/>
  <c r="C137" i="29"/>
  <c r="C167"/>
  <c r="C122"/>
  <c r="C32"/>
  <c r="C152"/>
  <c r="H77" i="83"/>
  <c r="H16" i="84" s="1"/>
  <c r="H47" s="1"/>
  <c r="G16"/>
  <c r="G47" s="1"/>
  <c r="H252" i="55"/>
  <c r="F139"/>
  <c r="H197" s="1"/>
  <c r="H210" i="53"/>
  <c r="H143"/>
  <c r="I240"/>
  <c r="I176"/>
  <c r="F23" i="72"/>
  <c r="F47" s="1"/>
  <c r="G77" i="81"/>
  <c r="J227" i="53"/>
  <c r="J160"/>
  <c r="G183"/>
  <c r="G246"/>
  <c r="H240" i="55"/>
  <c r="F127"/>
  <c r="H185" s="1"/>
  <c r="O58" i="22"/>
  <c r="P55" s="1"/>
  <c r="G87" i="83"/>
  <c r="F26" i="84"/>
  <c r="F57" s="1"/>
  <c r="H146" i="53"/>
  <c r="H213"/>
  <c r="F37" i="72"/>
  <c r="E33" i="55"/>
  <c r="G114" i="53"/>
  <c r="G56" i="83"/>
  <c r="F45" i="55"/>
  <c r="F102" s="1"/>
  <c r="I202" i="53"/>
  <c r="I135"/>
  <c r="H46" i="83"/>
  <c r="H35" i="55" s="1"/>
  <c r="G35"/>
  <c r="H163" i="84"/>
  <c r="F124"/>
  <c r="F141" s="1"/>
  <c r="H169" s="1"/>
  <c r="H168"/>
  <c r="H164"/>
  <c r="F125"/>
  <c r="F142" s="1"/>
  <c r="H155" s="1"/>
  <c r="F126"/>
  <c r="F143" s="1"/>
  <c r="H156" s="1"/>
  <c r="H91" i="83"/>
  <c r="H30" i="84" s="1"/>
  <c r="H61" s="1"/>
  <c r="G30"/>
  <c r="G61" s="1"/>
  <c r="H23" i="53"/>
  <c r="H76" s="1"/>
  <c r="H106" i="81"/>
  <c r="I23" i="53" s="1"/>
  <c r="I76" s="1"/>
  <c r="H76" i="83"/>
  <c r="H15" i="84" s="1"/>
  <c r="H46" s="1"/>
  <c r="G15"/>
  <c r="G46" s="1"/>
  <c r="G188" i="53"/>
  <c r="G251"/>
  <c r="G242" i="55"/>
  <c r="E129"/>
  <c r="G187" s="1"/>
  <c r="G65" i="72"/>
  <c r="G64"/>
  <c r="I144" s="1"/>
  <c r="G152" i="55"/>
  <c r="I211" s="1"/>
  <c r="I265"/>
  <c r="I137" i="53"/>
  <c r="I204"/>
  <c r="H263" i="55"/>
  <c r="F150"/>
  <c r="H209" s="1"/>
  <c r="H259"/>
  <c r="F146"/>
  <c r="H205" s="1"/>
  <c r="D37" i="29"/>
  <c r="D172"/>
  <c r="D157"/>
  <c r="D142"/>
  <c r="D127"/>
  <c r="I242" i="53"/>
  <c r="I178"/>
  <c r="H18"/>
  <c r="H71" s="1"/>
  <c r="H101" i="81"/>
  <c r="I18" i="53" s="1"/>
  <c r="I71" s="1"/>
  <c r="H50"/>
  <c r="H103" s="1"/>
  <c r="H119" i="83"/>
  <c r="I50" i="53" s="1"/>
  <c r="I103" s="1"/>
  <c r="G20" i="72"/>
  <c r="G44" s="1"/>
  <c r="H74" i="81"/>
  <c r="H20" i="72" s="1"/>
  <c r="H44" s="1"/>
  <c r="H168" i="53"/>
  <c r="H235"/>
  <c r="E132" i="55"/>
  <c r="G190" s="1"/>
  <c r="G245"/>
  <c r="E61"/>
  <c r="E10" s="1"/>
  <c r="G254" i="53"/>
  <c r="G245"/>
  <c r="G182"/>
  <c r="G253"/>
  <c r="E18" i="61"/>
  <c r="H142" i="72"/>
  <c r="H160"/>
  <c r="G85" i="81"/>
  <c r="F31" i="72"/>
  <c r="F55" s="1"/>
  <c r="G53" i="81"/>
  <c r="F22" i="55"/>
  <c r="F79" s="1"/>
  <c r="G89" i="83"/>
  <c r="F28" i="84"/>
  <c r="F59" s="1"/>
  <c r="H81" i="83"/>
  <c r="H20" i="84" s="1"/>
  <c r="H51" s="1"/>
  <c r="G20"/>
  <c r="G51" s="1"/>
  <c r="G83" i="83"/>
  <c r="F22" i="84"/>
  <c r="F53" s="1"/>
  <c r="E155" i="55"/>
  <c r="G214" s="1"/>
  <c r="G268"/>
  <c r="H122"/>
  <c r="J235"/>
  <c r="J239" i="53"/>
  <c r="J175"/>
  <c r="E157" i="72"/>
  <c r="E158"/>
  <c r="H126" i="55"/>
  <c r="J184" s="1"/>
  <c r="J239"/>
  <c r="H51" i="83"/>
  <c r="H40" i="55" s="1"/>
  <c r="H97" s="1"/>
  <c r="G40"/>
  <c r="G97" s="1"/>
  <c r="E157"/>
  <c r="G216" s="1"/>
  <c r="G270"/>
  <c r="G62" i="83"/>
  <c r="F51" i="55"/>
  <c r="F108" s="1"/>
  <c r="H168"/>
  <c r="J278"/>
  <c r="D12" i="84"/>
  <c r="F166" s="1"/>
  <c r="D42"/>
  <c r="H113" i="83"/>
  <c r="I44" i="53" s="1"/>
  <c r="I97" s="1"/>
  <c r="H44"/>
  <c r="H97" s="1"/>
  <c r="J133"/>
  <c r="J200"/>
  <c r="F25" i="84"/>
  <c r="F56" s="1"/>
  <c r="G86" i="83"/>
  <c r="F259" i="53"/>
  <c r="G154" i="84"/>
  <c r="G170"/>
  <c r="H68" i="83"/>
  <c r="H57" i="55" s="1"/>
  <c r="H114" s="1"/>
  <c r="G57"/>
  <c r="G114" s="1"/>
  <c r="H61" i="81"/>
  <c r="H30" i="55" s="1"/>
  <c r="H87" s="1"/>
  <c r="G30"/>
  <c r="G87" s="1"/>
  <c r="H22" i="53"/>
  <c r="H75" s="1"/>
  <c r="H105" i="81"/>
  <c r="I22" i="53" s="1"/>
  <c r="I75" s="1"/>
  <c r="J176"/>
  <c r="J240"/>
  <c r="E96" i="72"/>
  <c r="G152"/>
  <c r="E95"/>
  <c r="G139" s="1"/>
  <c r="I227" i="53"/>
  <c r="I160"/>
  <c r="F45" i="84"/>
  <c r="H237" i="53"/>
  <c r="H170"/>
  <c r="H238" i="55"/>
  <c r="F125"/>
  <c r="H183" s="1"/>
  <c r="H212" i="53"/>
  <c r="H145"/>
  <c r="F46" i="22"/>
  <c r="F65"/>
  <c r="E13" i="69" s="1"/>
  <c r="E15" s="1"/>
  <c r="H108" i="81"/>
  <c r="I25" i="53" s="1"/>
  <c r="I78" s="1"/>
  <c r="H25"/>
  <c r="H78" s="1"/>
  <c r="G13" i="72"/>
  <c r="H67" i="81"/>
  <c r="H13" i="72" s="1"/>
  <c r="E120" i="55"/>
  <c r="G233"/>
  <c r="J134" i="53"/>
  <c r="J201"/>
  <c r="H80" i="83"/>
  <c r="H19" i="84" s="1"/>
  <c r="H50" s="1"/>
  <c r="G19"/>
  <c r="G50" s="1"/>
  <c r="G116" i="53"/>
  <c r="G243" i="55"/>
  <c r="E130"/>
  <c r="G188" s="1"/>
  <c r="H166" i="53"/>
  <c r="H233"/>
  <c r="J224"/>
  <c r="J157"/>
  <c r="J174"/>
  <c r="E39" i="84"/>
  <c r="E144" s="1"/>
  <c r="G157" s="1"/>
  <c r="E159" i="55"/>
  <c r="G218" s="1"/>
  <c r="G272"/>
  <c r="G15" i="61"/>
  <c r="E229" i="55"/>
  <c r="H45" i="22"/>
  <c r="G67"/>
  <c r="H64" i="72"/>
  <c r="J144" s="1"/>
  <c r="H65"/>
  <c r="J265" i="55"/>
  <c r="H152"/>
  <c r="J137" i="53"/>
  <c r="J204"/>
  <c r="H52" i="83"/>
  <c r="H41" i="55" s="1"/>
  <c r="H98" s="1"/>
  <c r="G41"/>
  <c r="G98" s="1"/>
  <c r="H48" i="83"/>
  <c r="H37" i="55" s="1"/>
  <c r="H94" s="1"/>
  <c r="G37"/>
  <c r="G94" s="1"/>
  <c r="I241" i="53"/>
  <c r="I177"/>
  <c r="F68" i="55"/>
  <c r="G248"/>
  <c r="E135"/>
  <c r="G193" s="1"/>
  <c r="F145"/>
  <c r="H204" s="1"/>
  <c r="H258"/>
  <c r="H275"/>
  <c r="F165"/>
  <c r="H224" s="1"/>
  <c r="E156"/>
  <c r="G215" s="1"/>
  <c r="G269"/>
  <c r="G76" i="81"/>
  <c r="F22" i="72"/>
  <c r="F46" s="1"/>
  <c r="H150" i="53"/>
  <c r="H217"/>
  <c r="E144" i="55"/>
  <c r="G203" s="1"/>
  <c r="G257"/>
  <c r="F31"/>
  <c r="F88" s="1"/>
  <c r="G62" i="81"/>
  <c r="D141" i="29"/>
  <c r="D171"/>
  <c r="D126"/>
  <c r="D36"/>
  <c r="D156"/>
  <c r="H234" i="53"/>
  <c r="H167"/>
  <c r="E153" i="55"/>
  <c r="G212" s="1"/>
  <c r="G266"/>
  <c r="H63" i="83"/>
  <c r="H52" i="55" s="1"/>
  <c r="H109" s="1"/>
  <c r="G52"/>
  <c r="G109" s="1"/>
  <c r="H216" i="53"/>
  <c r="H149"/>
  <c r="G57" i="83"/>
  <c r="F46" i="55"/>
  <c r="F103" s="1"/>
  <c r="G122"/>
  <c r="I180" s="1"/>
  <c r="I235"/>
  <c r="F148"/>
  <c r="H207" s="1"/>
  <c r="H261"/>
  <c r="G271"/>
  <c r="E158"/>
  <c r="G217" s="1"/>
  <c r="J226" i="53"/>
  <c r="J159"/>
  <c r="G59" i="83"/>
  <c r="F48" i="55"/>
  <c r="F105" s="1"/>
  <c r="G52" i="22"/>
  <c r="J228" i="53"/>
  <c r="J161"/>
  <c r="G80" i="81"/>
  <c r="F26" i="72"/>
  <c r="F50" s="1"/>
  <c r="H46" i="81"/>
  <c r="H15" i="55" s="1"/>
  <c r="H72" s="1"/>
  <c r="G15"/>
  <c r="G72" s="1"/>
  <c r="I158" i="53"/>
  <c r="I225"/>
  <c r="M45" i="22"/>
  <c r="M66"/>
  <c r="D97" s="1"/>
  <c r="F71" i="72"/>
  <c r="F70"/>
  <c r="G79" i="81"/>
  <c r="F25" i="72"/>
  <c r="F49" s="1"/>
  <c r="I130" i="53"/>
  <c r="I197"/>
  <c r="G14" i="84"/>
  <c r="H75" i="83"/>
  <c r="H14" i="84" s="1"/>
  <c r="F147" i="55"/>
  <c r="H206" s="1"/>
  <c r="H260"/>
  <c r="H49" i="53"/>
  <c r="H102" s="1"/>
  <c r="H118" i="83"/>
  <c r="I49" i="53" s="1"/>
  <c r="I102" s="1"/>
  <c r="H47" i="81"/>
  <c r="H16" i="55" s="1"/>
  <c r="H73" s="1"/>
  <c r="G16"/>
  <c r="G73" s="1"/>
  <c r="H24" i="53"/>
  <c r="H77" s="1"/>
  <c r="H107" i="81"/>
  <c r="I24" i="53" s="1"/>
  <c r="I77" s="1"/>
  <c r="H215"/>
  <c r="H148"/>
  <c r="H208"/>
  <c r="H141"/>
  <c r="H236"/>
  <c r="H169"/>
  <c r="H164"/>
  <c r="H231"/>
  <c r="I134"/>
  <c r="I201"/>
  <c r="G119"/>
  <c r="G52" i="81"/>
  <c r="F21" i="55"/>
  <c r="F78" s="1"/>
  <c r="H114" i="83"/>
  <c r="I45" i="53" s="1"/>
  <c r="I98" s="1"/>
  <c r="H45"/>
  <c r="H98" s="1"/>
  <c r="I157"/>
  <c r="I224"/>
  <c r="G61" i="83"/>
  <c r="F50" i="55"/>
  <c r="F107" s="1"/>
  <c r="F191" i="53"/>
  <c r="H207"/>
  <c r="H140"/>
  <c r="I156"/>
  <c r="I223"/>
  <c r="N50" i="22"/>
  <c r="N52" s="1"/>
  <c r="G251" i="55"/>
  <c r="E138"/>
  <c r="G196" s="1"/>
  <c r="H154" i="72"/>
  <c r="F78"/>
  <c r="H141" s="1"/>
  <c r="F79"/>
  <c r="F151" i="55"/>
  <c r="H210" s="1"/>
  <c r="H264"/>
  <c r="H236"/>
  <c r="F123"/>
  <c r="H181" s="1"/>
  <c r="G246"/>
  <c r="E133"/>
  <c r="G191" s="1"/>
  <c r="J177" i="53"/>
  <c r="J241"/>
  <c r="E32" i="72"/>
  <c r="H42" i="81"/>
  <c r="H11" i="55" s="1"/>
  <c r="G11"/>
  <c r="F26"/>
  <c r="F83" s="1"/>
  <c r="G57" i="81"/>
  <c r="H47" i="83"/>
  <c r="H36" i="55" s="1"/>
  <c r="H93" s="1"/>
  <c r="G36"/>
  <c r="G93" s="1"/>
  <c r="H67" i="83"/>
  <c r="G56" i="55"/>
  <c r="G113" s="1"/>
  <c r="G58" i="83"/>
  <c r="F47" i="55"/>
  <c r="F104" s="1"/>
  <c r="H29" i="53"/>
  <c r="H82" s="1"/>
  <c r="H112" i="81"/>
  <c r="I29" i="53" s="1"/>
  <c r="I82" s="1"/>
  <c r="G59" i="81"/>
  <c r="F28" i="55"/>
  <c r="F85" s="1"/>
  <c r="G167"/>
  <c r="I226" s="1"/>
  <c r="I277"/>
  <c r="J221" i="53"/>
  <c r="J154"/>
  <c r="E140" i="55"/>
  <c r="G198" s="1"/>
  <c r="G253"/>
  <c r="H46" i="53"/>
  <c r="H99" s="1"/>
  <c r="H115" i="83"/>
  <c r="I46" i="53" s="1"/>
  <c r="I99" s="1"/>
  <c r="F44" i="55"/>
  <c r="F101" s="1"/>
  <c r="G55" i="83"/>
  <c r="F161" i="55"/>
  <c r="H220" s="1"/>
  <c r="H274"/>
  <c r="H28" i="53"/>
  <c r="H81" s="1"/>
  <c r="H111" i="81"/>
  <c r="I28" i="53" s="1"/>
  <c r="I81" s="1"/>
  <c r="F178" i="55"/>
  <c r="F28" i="72"/>
  <c r="F52" s="1"/>
  <c r="G82" i="81"/>
  <c r="I222" i="53"/>
  <c r="I155"/>
  <c r="E136" i="55"/>
  <c r="G194" s="1"/>
  <c r="G249"/>
  <c r="G39"/>
  <c r="G96" s="1"/>
  <c r="H50" i="83"/>
  <c r="H39" i="55" s="1"/>
  <c r="H96" s="1"/>
  <c r="G60" i="83"/>
  <c r="F49" i="55"/>
  <c r="F106" s="1"/>
  <c r="F29" i="72"/>
  <c r="F53" s="1"/>
  <c r="G83" i="81"/>
  <c r="I159" i="53"/>
  <c r="I226"/>
  <c r="H104" i="81"/>
  <c r="I21" i="53" s="1"/>
  <c r="I74" s="1"/>
  <c r="H21"/>
  <c r="H74" s="1"/>
  <c r="G39" i="61"/>
  <c r="I161" i="53"/>
  <c r="I228"/>
  <c r="G84" i="83"/>
  <c r="F23" i="84"/>
  <c r="F54" s="1"/>
  <c r="H237" i="55"/>
  <c r="F124"/>
  <c r="H182" s="1"/>
  <c r="H78" i="83"/>
  <c r="H17" i="84" s="1"/>
  <c r="H48" s="1"/>
  <c r="G17"/>
  <c r="G48" s="1"/>
  <c r="E37" i="61"/>
  <c r="E41" s="1"/>
  <c r="B9" i="69" s="1"/>
  <c r="B9" i="21"/>
  <c r="J158" i="53"/>
  <c r="J225"/>
  <c r="F29" i="84"/>
  <c r="F60" s="1"/>
  <c r="G90" i="83"/>
  <c r="G16" i="72"/>
  <c r="G40" s="1"/>
  <c r="H70" i="81"/>
  <c r="H16" i="72" s="1"/>
  <c r="H40" s="1"/>
  <c r="G159" i="84" l="1"/>
  <c r="B18" i="21"/>
  <c r="J211" i="55"/>
  <c r="E49" i="61"/>
  <c r="H56" i="55"/>
  <c r="H113" s="1"/>
  <c r="J285" s="1"/>
  <c r="H132" i="83"/>
  <c r="I285" i="55"/>
  <c r="I284"/>
  <c r="J227"/>
  <c r="F9" i="61"/>
  <c r="D176" i="84"/>
  <c r="F229" i="55"/>
  <c r="D8" i="21" s="1"/>
  <c r="F16" i="61"/>
  <c r="G7" s="1"/>
  <c r="F8"/>
  <c r="E166" i="72" s="1"/>
  <c r="O40" i="22"/>
  <c r="P37" s="1"/>
  <c r="P38" s="1"/>
  <c r="O64"/>
  <c r="P61" s="1"/>
  <c r="P62" s="1"/>
  <c r="P63" s="1"/>
  <c r="H183" i="53"/>
  <c r="H119"/>
  <c r="I251" s="1"/>
  <c r="G191"/>
  <c r="H34" i="61" s="1"/>
  <c r="I115" i="53"/>
  <c r="J246" s="1"/>
  <c r="H15" i="61"/>
  <c r="G260" i="53" s="1"/>
  <c r="I188"/>
  <c r="H70" i="72"/>
  <c r="H71"/>
  <c r="G70"/>
  <c r="J142" s="1"/>
  <c r="G71"/>
  <c r="J142" i="53"/>
  <c r="J209"/>
  <c r="G148" i="55"/>
  <c r="I207" s="1"/>
  <c r="I261"/>
  <c r="G28" i="72"/>
  <c r="G52" s="1"/>
  <c r="H82" i="81"/>
  <c r="H28" i="72" s="1"/>
  <c r="H52" s="1"/>
  <c r="I234" i="53"/>
  <c r="I167"/>
  <c r="H250" i="55"/>
  <c r="F137"/>
  <c r="H195" s="1"/>
  <c r="F156"/>
  <c r="H215" s="1"/>
  <c r="H269"/>
  <c r="G145"/>
  <c r="I204" s="1"/>
  <c r="I258"/>
  <c r="G68"/>
  <c r="F159"/>
  <c r="H218" s="1"/>
  <c r="H272"/>
  <c r="I166" i="53"/>
  <c r="I233"/>
  <c r="H125" i="55"/>
  <c r="J238"/>
  <c r="G45" i="84"/>
  <c r="H116" i="53"/>
  <c r="G124" i="55"/>
  <c r="I182" s="1"/>
  <c r="I237"/>
  <c r="F157"/>
  <c r="H216" s="1"/>
  <c r="H270"/>
  <c r="H57" i="83"/>
  <c r="H46" i="55" s="1"/>
  <c r="H103" s="1"/>
  <c r="G46"/>
  <c r="G103" s="1"/>
  <c r="G161"/>
  <c r="I220" s="1"/>
  <c r="I274"/>
  <c r="H253"/>
  <c r="F140"/>
  <c r="H198" s="1"/>
  <c r="H233"/>
  <c r="F120"/>
  <c r="H146"/>
  <c r="J259"/>
  <c r="H6" i="61"/>
  <c r="F260" i="53"/>
  <c r="F262" s="1"/>
  <c r="G37" i="72"/>
  <c r="I210" i="53"/>
  <c r="I143"/>
  <c r="J276" i="55"/>
  <c r="H166"/>
  <c r="F160"/>
  <c r="H219" s="1"/>
  <c r="H273"/>
  <c r="G149"/>
  <c r="I208" s="1"/>
  <c r="I262"/>
  <c r="I206" i="53"/>
  <c r="I139"/>
  <c r="J211"/>
  <c r="J144"/>
  <c r="H154" i="84"/>
  <c r="H170"/>
  <c r="H245" i="53"/>
  <c r="H182"/>
  <c r="H56" i="81"/>
  <c r="H25" i="55" s="1"/>
  <c r="H82" s="1"/>
  <c r="G25"/>
  <c r="G82" s="1"/>
  <c r="I116" i="53"/>
  <c r="E274"/>
  <c r="E276" s="1"/>
  <c r="C22" i="21"/>
  <c r="F47" i="61"/>
  <c r="F282" i="55"/>
  <c r="F283"/>
  <c r="H78" i="81"/>
  <c r="H24" i="72" s="1"/>
  <c r="H48" s="1"/>
  <c r="G24"/>
  <c r="G48" s="1"/>
  <c r="J226" i="55"/>
  <c r="F132"/>
  <c r="H190" s="1"/>
  <c r="H245"/>
  <c r="H55" i="81"/>
  <c r="H24" i="55" s="1"/>
  <c r="H81" s="1"/>
  <c r="G24"/>
  <c r="G81" s="1"/>
  <c r="J154" i="72"/>
  <c r="H78"/>
  <c r="H79"/>
  <c r="F18" i="61"/>
  <c r="G24" i="84"/>
  <c r="G55" s="1"/>
  <c r="H85" i="83"/>
  <c r="H24" i="84" s="1"/>
  <c r="H55" s="1"/>
  <c r="H51" i="81"/>
  <c r="H20" i="55" s="1"/>
  <c r="H77" s="1"/>
  <c r="G20"/>
  <c r="G77" s="1"/>
  <c r="F144"/>
  <c r="H203" s="1"/>
  <c r="H257"/>
  <c r="I169" i="53"/>
  <c r="I236"/>
  <c r="J148"/>
  <c r="J215"/>
  <c r="H127" i="55"/>
  <c r="J240"/>
  <c r="H90" i="83"/>
  <c r="H29" i="84" s="1"/>
  <c r="H60" s="1"/>
  <c r="G29"/>
  <c r="G60" s="1"/>
  <c r="C153" i="29"/>
  <c r="C159" s="1"/>
  <c r="C168"/>
  <c r="C174" s="1"/>
  <c r="C138"/>
  <c r="C144" s="1"/>
  <c r="C123"/>
  <c r="C129" s="1"/>
  <c r="C33"/>
  <c r="C39" s="1"/>
  <c r="H84" i="83"/>
  <c r="H23" i="84" s="1"/>
  <c r="H54" s="1"/>
  <c r="G23"/>
  <c r="G54" s="1"/>
  <c r="H271" i="55"/>
  <c r="F158"/>
  <c r="H217" s="1"/>
  <c r="J216" i="53"/>
  <c r="J149"/>
  <c r="H55" i="83"/>
  <c r="H44" i="55" s="1"/>
  <c r="H101" s="1"/>
  <c r="G44"/>
  <c r="G101" s="1"/>
  <c r="H59" i="81"/>
  <c r="H28" i="55" s="1"/>
  <c r="H85" s="1"/>
  <c r="G28"/>
  <c r="G85" s="1"/>
  <c r="G47"/>
  <c r="G104" s="1"/>
  <c r="H58" i="83"/>
  <c r="H47" i="55" s="1"/>
  <c r="H104" s="1"/>
  <c r="H145"/>
  <c r="J258"/>
  <c r="H68"/>
  <c r="N51" i="22"/>
  <c r="G50" i="55"/>
  <c r="G107" s="1"/>
  <c r="H61" i="83"/>
  <c r="H50" i="55" s="1"/>
  <c r="H107" s="1"/>
  <c r="J166" i="53"/>
  <c r="J233"/>
  <c r="H251"/>
  <c r="H188"/>
  <c r="J145"/>
  <c r="J212"/>
  <c r="J170"/>
  <c r="J237"/>
  <c r="H114"/>
  <c r="H118"/>
  <c r="G25" i="72"/>
  <c r="G49" s="1"/>
  <c r="H79" i="81"/>
  <c r="H25" i="72" s="1"/>
  <c r="H49" s="1"/>
  <c r="M67" i="22"/>
  <c r="H124" i="55"/>
  <c r="J237"/>
  <c r="H59" i="83"/>
  <c r="H48" i="55" s="1"/>
  <c r="H105" s="1"/>
  <c r="G48"/>
  <c r="G105" s="1"/>
  <c r="H161"/>
  <c r="J274"/>
  <c r="G150"/>
  <c r="I209" s="1"/>
  <c r="I263"/>
  <c r="I146" i="53"/>
  <c r="I213"/>
  <c r="G139" i="55"/>
  <c r="I197" s="1"/>
  <c r="I252"/>
  <c r="F165" i="84"/>
  <c r="F167"/>
  <c r="H62" i="83"/>
  <c r="H51" i="55" s="1"/>
  <c r="H108" s="1"/>
  <c r="G51"/>
  <c r="G108" s="1"/>
  <c r="J262"/>
  <c r="H149"/>
  <c r="F17" i="61"/>
  <c r="J180" i="55"/>
  <c r="G22" i="84"/>
  <c r="G53" s="1"/>
  <c r="H83" i="83"/>
  <c r="H22" i="84" s="1"/>
  <c r="H53" s="1"/>
  <c r="G28"/>
  <c r="G59" s="1"/>
  <c r="H89" i="83"/>
  <c r="H28" i="84" s="1"/>
  <c r="H59" s="1"/>
  <c r="H85" i="81"/>
  <c r="H31" i="72" s="1"/>
  <c r="H55" s="1"/>
  <c r="G31"/>
  <c r="G55" s="1"/>
  <c r="J238" i="53"/>
  <c r="J171"/>
  <c r="I142" i="72"/>
  <c r="I160"/>
  <c r="I211" i="53"/>
  <c r="I144"/>
  <c r="F32" i="72"/>
  <c r="H87" i="83"/>
  <c r="H26" i="84" s="1"/>
  <c r="H57" s="1"/>
  <c r="G26"/>
  <c r="G57" s="1"/>
  <c r="H77" i="81"/>
  <c r="H23" i="72" s="1"/>
  <c r="H47" s="1"/>
  <c r="G23"/>
  <c r="G47" s="1"/>
  <c r="I118" i="53"/>
  <c r="I114"/>
  <c r="H249" i="55"/>
  <c r="F136"/>
  <c r="H194" s="1"/>
  <c r="J168" i="53"/>
  <c r="J235"/>
  <c r="H253"/>
  <c r="G123" i="55"/>
  <c r="I181" s="1"/>
  <c r="I236"/>
  <c r="H151"/>
  <c r="J264"/>
  <c r="H251"/>
  <c r="F138"/>
  <c r="H196" s="1"/>
  <c r="J207" i="53"/>
  <c r="J140"/>
  <c r="I163" i="84"/>
  <c r="I164"/>
  <c r="I168"/>
  <c r="G126"/>
  <c r="G143" s="1"/>
  <c r="I156" s="1"/>
  <c r="G124"/>
  <c r="G141" s="1"/>
  <c r="I169" s="1"/>
  <c r="G125"/>
  <c r="G142" s="1"/>
  <c r="I155" s="1"/>
  <c r="H88" i="83"/>
  <c r="H27" i="84" s="1"/>
  <c r="H58" s="1"/>
  <c r="G27"/>
  <c r="G58" s="1"/>
  <c r="J236" i="53"/>
  <c r="J169"/>
  <c r="I148"/>
  <c r="I215"/>
  <c r="F159" i="72"/>
  <c r="F146"/>
  <c r="F148" s="1"/>
  <c r="G127" i="55"/>
  <c r="I185" s="1"/>
  <c r="I240"/>
  <c r="N44" i="22"/>
  <c r="N66" s="1"/>
  <c r="E97" s="1"/>
  <c r="E21" i="61"/>
  <c r="E42" s="1"/>
  <c r="E37" i="29"/>
  <c r="E172"/>
  <c r="E157"/>
  <c r="E142"/>
  <c r="E127"/>
  <c r="H60" i="83"/>
  <c r="H49" i="55" s="1"/>
  <c r="H106" s="1"/>
  <c r="G49"/>
  <c r="G106" s="1"/>
  <c r="I216" i="53"/>
  <c r="I149"/>
  <c r="F153" i="55"/>
  <c r="H212" s="1"/>
  <c r="H266"/>
  <c r="J150" i="53"/>
  <c r="J217"/>
  <c r="G165" i="55"/>
  <c r="I224" s="1"/>
  <c r="I275"/>
  <c r="G26"/>
  <c r="G83" s="1"/>
  <c r="H57" i="81"/>
  <c r="H26" i="55" s="1"/>
  <c r="H83" s="1"/>
  <c r="G156" i="72"/>
  <c r="E12"/>
  <c r="G161"/>
  <c r="G155"/>
  <c r="E35"/>
  <c r="O49" i="22"/>
  <c r="H243" i="55"/>
  <c r="F130"/>
  <c r="H188" s="1"/>
  <c r="I212" i="53"/>
  <c r="I145"/>
  <c r="I170"/>
  <c r="I237"/>
  <c r="H49" i="22"/>
  <c r="H76" i="81"/>
  <c r="H22" i="72" s="1"/>
  <c r="H46" s="1"/>
  <c r="G22"/>
  <c r="G46" s="1"/>
  <c r="H150" i="55"/>
  <c r="J263"/>
  <c r="I45" i="22"/>
  <c r="I67" s="1"/>
  <c r="H67"/>
  <c r="G178" i="55"/>
  <c r="J146" i="53"/>
  <c r="J213"/>
  <c r="F39" i="84"/>
  <c r="F144" s="1"/>
  <c r="H157" s="1"/>
  <c r="J252" i="55"/>
  <c r="H139"/>
  <c r="G25" i="84"/>
  <c r="G56" s="1"/>
  <c r="H86" i="83"/>
  <c r="H25" i="84" s="1"/>
  <c r="H56" s="1"/>
  <c r="I232" i="53"/>
  <c r="I165"/>
  <c r="H244" i="55"/>
  <c r="F131"/>
  <c r="H189" s="1"/>
  <c r="I171" i="53"/>
  <c r="I238"/>
  <c r="G92" i="55"/>
  <c r="H267"/>
  <c r="F154"/>
  <c r="H213" s="1"/>
  <c r="P56" i="22"/>
  <c r="P57" s="1"/>
  <c r="H152" i="72"/>
  <c r="F96"/>
  <c r="F95"/>
  <c r="H139" s="1"/>
  <c r="F37" i="61"/>
  <c r="C9" i="21"/>
  <c r="H58" i="81"/>
  <c r="H27" i="55" s="1"/>
  <c r="H84" s="1"/>
  <c r="G27"/>
  <c r="G84" s="1"/>
  <c r="H81" i="81"/>
  <c r="H27" i="72" s="1"/>
  <c r="H51" s="1"/>
  <c r="G27"/>
  <c r="G51" s="1"/>
  <c r="I235" i="53"/>
  <c r="I168"/>
  <c r="H254"/>
  <c r="J236" i="55"/>
  <c r="H123"/>
  <c r="G151"/>
  <c r="I210" s="1"/>
  <c r="I264"/>
  <c r="G29"/>
  <c r="G86" s="1"/>
  <c r="H60" i="81"/>
  <c r="H29" i="55" s="1"/>
  <c r="H86" s="1"/>
  <c r="I207" i="53"/>
  <c r="I140"/>
  <c r="J163" i="84"/>
  <c r="J164"/>
  <c r="H124"/>
  <c r="H141" s="1"/>
  <c r="J169" s="1"/>
  <c r="H126"/>
  <c r="H143" s="1"/>
  <c r="H125"/>
  <c r="H142" s="1"/>
  <c r="J168"/>
  <c r="H84" i="81"/>
  <c r="H30" i="72" s="1"/>
  <c r="H54" s="1"/>
  <c r="G30"/>
  <c r="G54" s="1"/>
  <c r="I164" i="53"/>
  <c r="I231"/>
  <c r="J141"/>
  <c r="J208"/>
  <c r="F157" i="72"/>
  <c r="F158"/>
  <c r="G147" i="55"/>
  <c r="I206" s="1"/>
  <c r="I260"/>
  <c r="I142" i="53"/>
  <c r="I209"/>
  <c r="G29" i="72"/>
  <c r="G53" s="1"/>
  <c r="H83" i="81"/>
  <c r="H29" i="72" s="1"/>
  <c r="H53" s="1"/>
  <c r="H148" i="55"/>
  <c r="J261"/>
  <c r="J234" i="53"/>
  <c r="J167"/>
  <c r="I150"/>
  <c r="I217"/>
  <c r="H248" i="55"/>
  <c r="F135"/>
  <c r="H193" s="1"/>
  <c r="G34" i="61"/>
  <c r="D12" i="21"/>
  <c r="G21" i="55"/>
  <c r="G78" s="1"/>
  <c r="H52" i="81"/>
  <c r="H21" i="55" s="1"/>
  <c r="H78" s="1"/>
  <c r="G125"/>
  <c r="I183" s="1"/>
  <c r="I238"/>
  <c r="H45" i="84"/>
  <c r="H115" i="53"/>
  <c r="H80" i="81"/>
  <c r="H26" i="72" s="1"/>
  <c r="H50" s="1"/>
  <c r="G26"/>
  <c r="G50" s="1"/>
  <c r="F155" i="55"/>
  <c r="H214" s="1"/>
  <c r="H268"/>
  <c r="H62" i="81"/>
  <c r="H31" i="55" s="1"/>
  <c r="H88" s="1"/>
  <c r="G31"/>
  <c r="G88" s="1"/>
  <c r="F33"/>
  <c r="G146"/>
  <c r="I205" s="1"/>
  <c r="I259"/>
  <c r="J160" i="72"/>
  <c r="C8" i="21"/>
  <c r="F36" i="61"/>
  <c r="E12" i="84"/>
  <c r="G166" s="1"/>
  <c r="E42"/>
  <c r="H184" i="53"/>
  <c r="H247"/>
  <c r="H37" i="72"/>
  <c r="G43" i="22"/>
  <c r="F68"/>
  <c r="H17" s="1"/>
  <c r="H23" s="1"/>
  <c r="E35" i="21" s="1"/>
  <c r="E36" s="1"/>
  <c r="J143" i="53"/>
  <c r="J210"/>
  <c r="G166" i="55"/>
  <c r="I225" s="1"/>
  <c r="I276"/>
  <c r="E13" i="21"/>
  <c r="H39" i="61"/>
  <c r="J165" i="53"/>
  <c r="J232"/>
  <c r="H53" i="81"/>
  <c r="H22" i="55" s="1"/>
  <c r="H79" s="1"/>
  <c r="G22"/>
  <c r="G79" s="1"/>
  <c r="J139" i="53"/>
  <c r="J206"/>
  <c r="H92" i="55"/>
  <c r="H56" i="83"/>
  <c r="H45" i="55" s="1"/>
  <c r="H102" s="1"/>
  <c r="G45"/>
  <c r="G102" s="1"/>
  <c r="E65"/>
  <c r="G200" s="1"/>
  <c r="B15" i="21"/>
  <c r="C6" i="68" s="1"/>
  <c r="H247" i="55"/>
  <c r="F134"/>
  <c r="H192" s="1"/>
  <c r="I119" i="53"/>
  <c r="H54" i="81"/>
  <c r="H23" i="55" s="1"/>
  <c r="H80" s="1"/>
  <c r="G23"/>
  <c r="G80" s="1"/>
  <c r="H246"/>
  <c r="F133"/>
  <c r="H191" s="1"/>
  <c r="G78" i="72"/>
  <c r="I141" s="1"/>
  <c r="I154"/>
  <c r="G79"/>
  <c r="H242" i="55"/>
  <c r="F129"/>
  <c r="H187" s="1"/>
  <c r="F61"/>
  <c r="F10" s="1"/>
  <c r="J164" i="53"/>
  <c r="J231"/>
  <c r="I208"/>
  <c r="I141"/>
  <c r="H147" i="55"/>
  <c r="J260"/>
  <c r="E50" i="61"/>
  <c r="D178" i="72"/>
  <c r="D180" s="1"/>
  <c r="B19" i="21"/>
  <c r="F41" i="61" l="1"/>
  <c r="C9" i="69" s="1"/>
  <c r="J207" i="55"/>
  <c r="H159" i="84"/>
  <c r="H32" i="72"/>
  <c r="J181" i="55"/>
  <c r="H165"/>
  <c r="J224" s="1"/>
  <c r="J284"/>
  <c r="J275"/>
  <c r="G36" i="61"/>
  <c r="E175" i="84"/>
  <c r="D178"/>
  <c r="D187" s="1"/>
  <c r="D189" s="1"/>
  <c r="D191" s="1"/>
  <c r="G9" i="61"/>
  <c r="E176" i="84"/>
  <c r="F175" s="1"/>
  <c r="J155"/>
  <c r="J220" i="55"/>
  <c r="G16" i="61"/>
  <c r="H7" s="1"/>
  <c r="G289" i="55" s="1"/>
  <c r="J197"/>
  <c r="J208"/>
  <c r="J182"/>
  <c r="E290"/>
  <c r="E292" s="1"/>
  <c r="E302" s="1"/>
  <c r="E305" s="1"/>
  <c r="J204"/>
  <c r="E12" i="21"/>
  <c r="F126" i="29" s="1"/>
  <c r="E44" i="61"/>
  <c r="B10" i="69"/>
  <c r="C31" i="68" s="1"/>
  <c r="J254" i="53"/>
  <c r="F146" i="29"/>
  <c r="F131"/>
  <c r="F176"/>
  <c r="F24" i="68"/>
  <c r="F161" i="29"/>
  <c r="F45"/>
  <c r="P39" i="22"/>
  <c r="P40"/>
  <c r="Q37" s="1"/>
  <c r="Q38" s="1"/>
  <c r="Q39" s="1"/>
  <c r="P64"/>
  <c r="Q61" s="1"/>
  <c r="Q62" s="1"/>
  <c r="Q63" s="1"/>
  <c r="P58"/>
  <c r="Q55" s="1"/>
  <c r="Q56" s="1"/>
  <c r="Q57" s="1"/>
  <c r="F12" i="61"/>
  <c r="N46" i="22"/>
  <c r="J253" i="53"/>
  <c r="I6" i="61"/>
  <c r="H259" i="53" s="1"/>
  <c r="J206" i="55"/>
  <c r="J156" i="84"/>
  <c r="J209" i="55"/>
  <c r="H39" i="84"/>
  <c r="I254" i="53"/>
  <c r="J188"/>
  <c r="J251"/>
  <c r="G282" i="55"/>
  <c r="G283"/>
  <c r="H61"/>
  <c r="H10" s="1"/>
  <c r="G165" i="84"/>
  <c r="G167"/>
  <c r="F65" i="55"/>
  <c r="H200" s="1"/>
  <c r="E126" i="29"/>
  <c r="E36"/>
  <c r="E141"/>
  <c r="E171"/>
  <c r="E156"/>
  <c r="H138" i="55"/>
  <c r="J251"/>
  <c r="J249"/>
  <c r="H136"/>
  <c r="G144"/>
  <c r="I203" s="1"/>
  <c r="I257"/>
  <c r="F12" i="84"/>
  <c r="H166" s="1"/>
  <c r="F42"/>
  <c r="O50" i="22"/>
  <c r="O51" s="1"/>
  <c r="G157" i="72"/>
  <c r="G158"/>
  <c r="G158" i="55"/>
  <c r="I217" s="1"/>
  <c r="I271"/>
  <c r="D9" i="21"/>
  <c r="G37" i="61"/>
  <c r="J250" i="53"/>
  <c r="J187"/>
  <c r="G160" i="55"/>
  <c r="I219" s="1"/>
  <c r="I273"/>
  <c r="H159"/>
  <c r="J272"/>
  <c r="H120"/>
  <c r="J233"/>
  <c r="H156"/>
  <c r="J269"/>
  <c r="G153"/>
  <c r="I212" s="1"/>
  <c r="I266"/>
  <c r="E152" i="29"/>
  <c r="E122"/>
  <c r="E167"/>
  <c r="E137"/>
  <c r="E32"/>
  <c r="H134" i="55"/>
  <c r="J247"/>
  <c r="J225"/>
  <c r="I184" i="53"/>
  <c r="I247"/>
  <c r="G120" i="55"/>
  <c r="I233"/>
  <c r="G132"/>
  <c r="I190" s="1"/>
  <c r="I245"/>
  <c r="J257"/>
  <c r="H144"/>
  <c r="G131"/>
  <c r="I189" s="1"/>
  <c r="I244"/>
  <c r="G140"/>
  <c r="I198" s="1"/>
  <c r="I253"/>
  <c r="I183" i="53"/>
  <c r="I246"/>
  <c r="G41" i="61"/>
  <c r="D9" i="69" s="1"/>
  <c r="G17" i="61"/>
  <c r="G138" i="55"/>
  <c r="I196" s="1"/>
  <c r="I251"/>
  <c r="D168" i="29"/>
  <c r="D153"/>
  <c r="D123"/>
  <c r="D33"/>
  <c r="D138"/>
  <c r="G229" i="55"/>
  <c r="G159" i="72"/>
  <c r="G146"/>
  <c r="G148" s="1"/>
  <c r="H158" i="55"/>
  <c r="J271"/>
  <c r="I154" i="84"/>
  <c r="I170"/>
  <c r="G95" i="72"/>
  <c r="I139" s="1"/>
  <c r="G96"/>
  <c r="I152"/>
  <c r="F12"/>
  <c r="H161"/>
  <c r="H155"/>
  <c r="H156"/>
  <c r="F35"/>
  <c r="G8" i="61"/>
  <c r="F166" i="72" s="1"/>
  <c r="E167"/>
  <c r="E169" s="1"/>
  <c r="J273" i="55"/>
  <c r="H160"/>
  <c r="J219" s="1"/>
  <c r="G159"/>
  <c r="I218" s="1"/>
  <c r="I272"/>
  <c r="H33"/>
  <c r="G156"/>
  <c r="I215" s="1"/>
  <c r="I269"/>
  <c r="H153"/>
  <c r="J266"/>
  <c r="J141" i="72"/>
  <c r="F289" i="55"/>
  <c r="H191" i="53"/>
  <c r="F13" i="21"/>
  <c r="I39" i="61"/>
  <c r="G32" i="72"/>
  <c r="G39" i="84"/>
  <c r="G144" s="1"/>
  <c r="I157" s="1"/>
  <c r="H132" i="55"/>
  <c r="J190" s="1"/>
  <c r="J245"/>
  <c r="G154"/>
  <c r="I213" s="1"/>
  <c r="I267"/>
  <c r="J244"/>
  <c r="H131"/>
  <c r="G46" i="22"/>
  <c r="G65"/>
  <c r="F13" i="69" s="1"/>
  <c r="F15" s="1"/>
  <c r="H140" i="55"/>
  <c r="J253"/>
  <c r="H130"/>
  <c r="J243"/>
  <c r="H52" i="22"/>
  <c r="H135" i="55"/>
  <c r="J248"/>
  <c r="H95" i="72"/>
  <c r="H96"/>
  <c r="J152"/>
  <c r="G157" i="55"/>
  <c r="I216" s="1"/>
  <c r="I270"/>
  <c r="I250" i="53"/>
  <c r="I187"/>
  <c r="G137" i="55"/>
  <c r="I195" s="1"/>
  <c r="I250"/>
  <c r="I242"/>
  <c r="G129"/>
  <c r="I187" s="1"/>
  <c r="G133"/>
  <c r="I191" s="1"/>
  <c r="I246"/>
  <c r="J247" i="53"/>
  <c r="J184"/>
  <c r="I15" i="61"/>
  <c r="F274" i="53"/>
  <c r="F276" s="1"/>
  <c r="G47" i="61"/>
  <c r="D22" i="21"/>
  <c r="J205" i="55"/>
  <c r="G155"/>
  <c r="I214" s="1"/>
  <c r="I268"/>
  <c r="J183"/>
  <c r="H154"/>
  <c r="J267"/>
  <c r="F37" i="29"/>
  <c r="F127"/>
  <c r="F142"/>
  <c r="F172"/>
  <c r="F157"/>
  <c r="J161" i="72"/>
  <c r="H35"/>
  <c r="J155"/>
  <c r="J156"/>
  <c r="H12"/>
  <c r="D152" i="29"/>
  <c r="D137"/>
  <c r="D167"/>
  <c r="D122"/>
  <c r="D32"/>
  <c r="C15" i="21"/>
  <c r="D6" i="68" s="1"/>
  <c r="G130" i="55"/>
  <c r="I188" s="1"/>
  <c r="I243"/>
  <c r="J154" i="84"/>
  <c r="J170"/>
  <c r="G136" i="55"/>
  <c r="I194" s="1"/>
  <c r="I249"/>
  <c r="G61"/>
  <c r="G10" s="1"/>
  <c r="G135"/>
  <c r="I193" s="1"/>
  <c r="I248"/>
  <c r="J210"/>
  <c r="J182" i="53"/>
  <c r="J245"/>
  <c r="G18" i="61"/>
  <c r="J270" i="55"/>
  <c r="H157"/>
  <c r="N45" i="22"/>
  <c r="I253" i="53"/>
  <c r="I245"/>
  <c r="I182"/>
  <c r="H137" i="55"/>
  <c r="J250"/>
  <c r="J185"/>
  <c r="H129"/>
  <c r="J242"/>
  <c r="F21" i="61"/>
  <c r="F42" s="1"/>
  <c r="H133" i="55"/>
  <c r="J191" s="1"/>
  <c r="J246"/>
  <c r="G134"/>
  <c r="I192" s="1"/>
  <c r="I247"/>
  <c r="G259" i="53"/>
  <c r="G262" s="1"/>
  <c r="H178" i="55"/>
  <c r="H155"/>
  <c r="J268"/>
  <c r="G33"/>
  <c r="J183" i="53"/>
  <c r="D159" i="29" l="1"/>
  <c r="I159" i="84"/>
  <c r="G13" i="21" s="1"/>
  <c r="H12" i="84"/>
  <c r="J166" s="1"/>
  <c r="H144"/>
  <c r="J157" s="1"/>
  <c r="F171" i="29"/>
  <c r="D144"/>
  <c r="J15" i="61"/>
  <c r="D174" i="29"/>
  <c r="H229" i="55"/>
  <c r="E52" i="61"/>
  <c r="E54" s="1"/>
  <c r="B25" i="69" s="1"/>
  <c r="C12" i="68" s="1"/>
  <c r="B23" i="21"/>
  <c r="B25" s="1"/>
  <c r="C147" i="29" s="1"/>
  <c r="C148" s="1"/>
  <c r="C149" s="1"/>
  <c r="H9" i="61"/>
  <c r="F176" i="84"/>
  <c r="E178"/>
  <c r="J213" i="55"/>
  <c r="C18" i="21"/>
  <c r="F290" i="55"/>
  <c r="F292" s="1"/>
  <c r="H42" i="84"/>
  <c r="F49" i="61"/>
  <c r="J216" i="55"/>
  <c r="J198"/>
  <c r="J188"/>
  <c r="F156" i="29"/>
  <c r="F141"/>
  <c r="F36"/>
  <c r="J159" i="84"/>
  <c r="H13" i="21" s="1"/>
  <c r="I191" i="53"/>
  <c r="J34" i="61" s="1"/>
  <c r="F44"/>
  <c r="C10" i="69"/>
  <c r="D31" i="68" s="1"/>
  <c r="D129" i="29"/>
  <c r="H16" i="61"/>
  <c r="G290" i="55" s="1"/>
  <c r="G292" s="1"/>
  <c r="O43" i="22"/>
  <c r="N68"/>
  <c r="J214" i="55"/>
  <c r="J191" i="53"/>
  <c r="K34" i="61" s="1"/>
  <c r="J203" i="55"/>
  <c r="K6" i="61"/>
  <c r="I260" i="53"/>
  <c r="E9" i="21"/>
  <c r="H37" i="61"/>
  <c r="H8"/>
  <c r="F167" i="72"/>
  <c r="F169" s="1"/>
  <c r="J178" i="55"/>
  <c r="E168" i="29"/>
  <c r="E174" s="1"/>
  <c r="E123"/>
  <c r="E129" s="1"/>
  <c r="E33"/>
  <c r="E39" s="1"/>
  <c r="E153"/>
  <c r="E159" s="1"/>
  <c r="E138"/>
  <c r="E144" s="1"/>
  <c r="H165" i="84"/>
  <c r="H167"/>
  <c r="J196" i="55"/>
  <c r="J139" i="72"/>
  <c r="I49" i="22"/>
  <c r="G12" i="84"/>
  <c r="I166" s="1"/>
  <c r="G42"/>
  <c r="G37" i="29"/>
  <c r="G172"/>
  <c r="G142"/>
  <c r="G157"/>
  <c r="G127"/>
  <c r="H159" i="72"/>
  <c r="H146"/>
  <c r="H148" s="1"/>
  <c r="H157"/>
  <c r="H158"/>
  <c r="J39" i="61"/>
  <c r="D15" i="21"/>
  <c r="E6" i="68" s="1"/>
  <c r="J194" i="55"/>
  <c r="H18" i="61"/>
  <c r="G65" i="55"/>
  <c r="I200" s="1"/>
  <c r="J157" i="72"/>
  <c r="K17" i="61" s="1"/>
  <c r="J167" i="72" s="1"/>
  <c r="J158"/>
  <c r="F8" i="21"/>
  <c r="I36" i="61"/>
  <c r="J195" i="55"/>
  <c r="Q58" i="22"/>
  <c r="J6" i="61"/>
  <c r="H260" i="53"/>
  <c r="H262" s="1"/>
  <c r="N67" i="22"/>
  <c r="J167" i="84"/>
  <c r="J165"/>
  <c r="H43" i="22"/>
  <c r="G68"/>
  <c r="I17" s="1"/>
  <c r="I23" s="1"/>
  <c r="F35" i="21" s="1"/>
  <c r="F36" s="1"/>
  <c r="I155" i="72"/>
  <c r="G35"/>
  <c r="I156"/>
  <c r="I161"/>
  <c r="G12"/>
  <c r="F12" i="21"/>
  <c r="I34" i="61"/>
  <c r="H65" i="55"/>
  <c r="J200" s="1"/>
  <c r="H36" i="61"/>
  <c r="H41" s="1"/>
  <c r="E9" i="69" s="1"/>
  <c r="E8" i="21"/>
  <c r="I178" i="55"/>
  <c r="I229" s="1"/>
  <c r="J192"/>
  <c r="J215"/>
  <c r="J218"/>
  <c r="O52" i="22"/>
  <c r="H282" i="55"/>
  <c r="H283"/>
  <c r="G274" i="53"/>
  <c r="G276" s="1"/>
  <c r="H47" i="61"/>
  <c r="E22" i="21"/>
  <c r="J187" i="55"/>
  <c r="K15" i="61"/>
  <c r="D39" i="29"/>
  <c r="J146" i="72"/>
  <c r="J159"/>
  <c r="J193" i="55"/>
  <c r="J189"/>
  <c r="G12" i="61"/>
  <c r="J212" i="55"/>
  <c r="E178" i="72"/>
  <c r="E180" s="1"/>
  <c r="F50" i="61"/>
  <c r="C19" i="21"/>
  <c r="J217" i="55"/>
  <c r="Q64" i="22"/>
  <c r="Q40"/>
  <c r="H17" i="61"/>
  <c r="G21"/>
  <c r="G42" s="1"/>
  <c r="B38" i="21" l="1"/>
  <c r="C162" i="29"/>
  <c r="C163" s="1"/>
  <c r="C164" s="1"/>
  <c r="E55" i="61"/>
  <c r="E56" s="1"/>
  <c r="C41" i="29"/>
  <c r="C43" s="1"/>
  <c r="C47" s="1"/>
  <c r="C177"/>
  <c r="C178" s="1"/>
  <c r="C179" s="1"/>
  <c r="I9" i="61"/>
  <c r="G176" i="84"/>
  <c r="H175" s="1"/>
  <c r="F52" i="61"/>
  <c r="F54" s="1"/>
  <c r="E187" i="84"/>
  <c r="E189" s="1"/>
  <c r="E191" s="1"/>
  <c r="C23" i="21"/>
  <c r="C25" s="1"/>
  <c r="D177" i="29" s="1"/>
  <c r="D178" s="1"/>
  <c r="D179" s="1"/>
  <c r="C132"/>
  <c r="C133" s="1"/>
  <c r="C134" s="1"/>
  <c r="C23" i="68"/>
  <c r="G175" i="84"/>
  <c r="F178"/>
  <c r="I17" i="61"/>
  <c r="K39"/>
  <c r="I7"/>
  <c r="H289" i="55" s="1"/>
  <c r="G12" i="21"/>
  <c r="H141" i="29" s="1"/>
  <c r="G44" i="61"/>
  <c r="D10" i="69"/>
  <c r="E31" i="68" s="1"/>
  <c r="G161" i="29"/>
  <c r="G146"/>
  <c r="G24" i="68"/>
  <c r="G45" i="29"/>
  <c r="G131"/>
  <c r="G176"/>
  <c r="O65" i="22"/>
  <c r="O44"/>
  <c r="H12" i="21"/>
  <c r="I141" i="29" s="1"/>
  <c r="F22" i="21"/>
  <c r="H274" i="53"/>
  <c r="H276" s="1"/>
  <c r="I47" i="61"/>
  <c r="I8"/>
  <c r="H166" i="72" s="1"/>
  <c r="G167"/>
  <c r="J260" i="53"/>
  <c r="F167" i="29"/>
  <c r="F122"/>
  <c r="F32"/>
  <c r="F137"/>
  <c r="F152"/>
  <c r="E15" i="21"/>
  <c r="F6" i="68" s="1"/>
  <c r="J282" i="55"/>
  <c r="J283"/>
  <c r="I158" i="72"/>
  <c r="I157"/>
  <c r="J8" i="61"/>
  <c r="I166" i="72" s="1"/>
  <c r="H167"/>
  <c r="J148"/>
  <c r="I156" i="29"/>
  <c r="I18" i="61"/>
  <c r="J229" i="55"/>
  <c r="F138" i="29"/>
  <c r="F123"/>
  <c r="F33"/>
  <c r="F168"/>
  <c r="F153"/>
  <c r="J259" i="53"/>
  <c r="D18" i="21"/>
  <c r="G49" i="61"/>
  <c r="F302" i="55"/>
  <c r="F305" s="1"/>
  <c r="P49" i="22"/>
  <c r="F9" i="21"/>
  <c r="F15" s="1"/>
  <c r="I37" i="61"/>
  <c r="I41" s="1"/>
  <c r="F9" i="69" s="1"/>
  <c r="I165" i="84"/>
  <c r="I167"/>
  <c r="D19" i="21"/>
  <c r="F178" i="72"/>
  <c r="F180" s="1"/>
  <c r="G50" i="61"/>
  <c r="H46" i="22"/>
  <c r="H65"/>
  <c r="G13" i="69" s="1"/>
  <c r="G15" s="1"/>
  <c r="G167" i="29"/>
  <c r="G137"/>
  <c r="G122"/>
  <c r="G32"/>
  <c r="G152"/>
  <c r="I282" i="55"/>
  <c r="I283"/>
  <c r="H37" i="29"/>
  <c r="H172"/>
  <c r="H157"/>
  <c r="H142"/>
  <c r="H127"/>
  <c r="H21" i="61"/>
  <c r="H42" s="1"/>
  <c r="G166" i="72"/>
  <c r="H12" i="61"/>
  <c r="I37" i="29"/>
  <c r="I172"/>
  <c r="I157"/>
  <c r="I142"/>
  <c r="I127"/>
  <c r="I16" i="61"/>
  <c r="G8" i="21"/>
  <c r="J36" i="61"/>
  <c r="G141" i="29"/>
  <c r="G126"/>
  <c r="G171"/>
  <c r="G36"/>
  <c r="G156"/>
  <c r="I159" i="72"/>
  <c r="I146"/>
  <c r="I148" s="1"/>
  <c r="K18" i="61"/>
  <c r="J176" i="84" s="1"/>
  <c r="I259" i="53"/>
  <c r="I262" s="1"/>
  <c r="I52" i="22"/>
  <c r="H49" i="61"/>
  <c r="E18" i="21"/>
  <c r="G302" i="55"/>
  <c r="G305" s="1"/>
  <c r="H126" i="29"/>
  <c r="H156"/>
  <c r="H36" l="1"/>
  <c r="H171"/>
  <c r="D11" i="62"/>
  <c r="D12" s="1"/>
  <c r="J262" i="53"/>
  <c r="G178" i="84"/>
  <c r="B40" i="21"/>
  <c r="B45" s="1"/>
  <c r="J41"/>
  <c r="I126" i="29"/>
  <c r="H169" i="72"/>
  <c r="I50" i="61" s="1"/>
  <c r="B24" i="69"/>
  <c r="C11" i="68" s="1"/>
  <c r="C38" i="21"/>
  <c r="C40" s="1"/>
  <c r="C45" s="1"/>
  <c r="I12" i="61"/>
  <c r="D132" i="29"/>
  <c r="D133" s="1"/>
  <c r="D134" s="1"/>
  <c r="D147"/>
  <c r="D148" s="1"/>
  <c r="D149" s="1"/>
  <c r="D162"/>
  <c r="D163" s="1"/>
  <c r="D164" s="1"/>
  <c r="D23" i="68"/>
  <c r="D41" i="29"/>
  <c r="D43" s="1"/>
  <c r="D47" s="1"/>
  <c r="F55" i="61"/>
  <c r="C24" i="69" s="1"/>
  <c r="D29" i="68" s="1"/>
  <c r="C25" i="69"/>
  <c r="D12" i="68" s="1"/>
  <c r="G52" i="61"/>
  <c r="G54" s="1"/>
  <c r="F187" i="84"/>
  <c r="F189" s="1"/>
  <c r="F191" s="1"/>
  <c r="D23" i="21"/>
  <c r="D25" s="1"/>
  <c r="J9" i="61"/>
  <c r="H176" i="84"/>
  <c r="I36" i="29"/>
  <c r="H44" i="61"/>
  <c r="E10" i="69"/>
  <c r="F31" i="68" s="1"/>
  <c r="I171" i="29"/>
  <c r="F39"/>
  <c r="K16" i="61"/>
  <c r="J290" i="55" s="1"/>
  <c r="J17" i="61"/>
  <c r="K8" s="1"/>
  <c r="J166" i="72" s="1"/>
  <c r="J169" s="1"/>
  <c r="O46" i="22"/>
  <c r="O45"/>
  <c r="O66"/>
  <c r="F97" s="1"/>
  <c r="I167" i="72"/>
  <c r="I169" s="1"/>
  <c r="J7" i="61"/>
  <c r="H290" i="55"/>
  <c r="H292" s="1"/>
  <c r="I21" i="61"/>
  <c r="I42" s="1"/>
  <c r="J16"/>
  <c r="I43" i="22"/>
  <c r="H68"/>
  <c r="J17" s="1"/>
  <c r="J23" s="1"/>
  <c r="G35" i="21" s="1"/>
  <c r="G36" s="1"/>
  <c r="G153" i="29"/>
  <c r="G159" s="1"/>
  <c r="G138"/>
  <c r="G144" s="1"/>
  <c r="G168"/>
  <c r="G174" s="1"/>
  <c r="G123"/>
  <c r="G129" s="1"/>
  <c r="G33"/>
  <c r="G39" s="1"/>
  <c r="P50" i="22"/>
  <c r="P52" s="1"/>
  <c r="K47" i="61"/>
  <c r="J274" i="53"/>
  <c r="J276" s="1"/>
  <c r="H22" i="21"/>
  <c r="F129" i="29"/>
  <c r="H8" i="21"/>
  <c r="K36" i="61"/>
  <c r="G6" i="68"/>
  <c r="H9" i="21"/>
  <c r="K37" i="61"/>
  <c r="F159" i="29"/>
  <c r="F174"/>
  <c r="G169" i="72"/>
  <c r="J37" i="61"/>
  <c r="J41" s="1"/>
  <c r="G9" i="69" s="1"/>
  <c r="G9" i="21"/>
  <c r="G15" s="1"/>
  <c r="H6" i="68" s="1"/>
  <c r="I274" i="53"/>
  <c r="I276" s="1"/>
  <c r="J47" i="61"/>
  <c r="G22" i="21"/>
  <c r="H152" i="29"/>
  <c r="H167"/>
  <c r="H137"/>
  <c r="H122"/>
  <c r="H32"/>
  <c r="J18" i="61"/>
  <c r="F19" i="21"/>
  <c r="F144" i="29"/>
  <c r="D22" l="1"/>
  <c r="C83"/>
  <c r="C15"/>
  <c r="C94"/>
  <c r="E20" i="62"/>
  <c r="E21" s="1"/>
  <c r="C7" i="68" s="1"/>
  <c r="C71" i="29"/>
  <c r="E23" i="21"/>
  <c r="H52" i="61"/>
  <c r="G187" i="84"/>
  <c r="G189" s="1"/>
  <c r="G191" s="1"/>
  <c r="C109" i="29"/>
  <c r="H178" i="72"/>
  <c r="H180" s="1"/>
  <c r="D109" i="29"/>
  <c r="C29" i="68"/>
  <c r="D11"/>
  <c r="D13" s="1"/>
  <c r="B27" i="69"/>
  <c r="C27"/>
  <c r="K9" i="61"/>
  <c r="I176" i="84"/>
  <c r="J175" s="1"/>
  <c r="J178" s="1"/>
  <c r="I175"/>
  <c r="H178"/>
  <c r="K21" i="61"/>
  <c r="K42" s="1"/>
  <c r="H10" i="69" s="1"/>
  <c r="G55" i="61"/>
  <c r="D24" i="69" s="1"/>
  <c r="D25"/>
  <c r="E12" i="68" s="1"/>
  <c r="I44" i="61"/>
  <c r="F10" i="69"/>
  <c r="G31" i="68" s="1"/>
  <c r="H45" i="29"/>
  <c r="H131"/>
  <c r="H176"/>
  <c r="H24" i="68"/>
  <c r="H161" i="29"/>
  <c r="H146"/>
  <c r="O67" i="22"/>
  <c r="P43"/>
  <c r="O68"/>
  <c r="Q49"/>
  <c r="J178" i="72"/>
  <c r="J180" s="1"/>
  <c r="K50" i="61"/>
  <c r="H19" i="21"/>
  <c r="H168" i="29"/>
  <c r="H174" s="1"/>
  <c r="H153"/>
  <c r="H159" s="1"/>
  <c r="H123"/>
  <c r="H129" s="1"/>
  <c r="H33"/>
  <c r="H39" s="1"/>
  <c r="H138"/>
  <c r="H144" s="1"/>
  <c r="K41" i="61"/>
  <c r="P51" i="22"/>
  <c r="I46"/>
  <c r="I68" s="1"/>
  <c r="K17" s="1"/>
  <c r="K23" s="1"/>
  <c r="H35" i="21" s="1"/>
  <c r="H36" s="1"/>
  <c r="I65" i="22"/>
  <c r="H13" i="69" s="1"/>
  <c r="H15" s="1"/>
  <c r="I178" i="72"/>
  <c r="I180" s="1"/>
  <c r="G19" i="21"/>
  <c r="J50" i="61"/>
  <c r="I289" i="55"/>
  <c r="J12" i="61"/>
  <c r="I167" i="29"/>
  <c r="I152"/>
  <c r="I122"/>
  <c r="I137"/>
  <c r="I32"/>
  <c r="H15" i="21"/>
  <c r="I6" i="68" s="1"/>
  <c r="I290" i="55"/>
  <c r="I292" s="1"/>
  <c r="K7" i="61"/>
  <c r="J21"/>
  <c r="J42" s="1"/>
  <c r="G178" i="72"/>
  <c r="G180" s="1"/>
  <c r="E19" i="21"/>
  <c r="H50" i="61"/>
  <c r="I123" i="29"/>
  <c r="I33"/>
  <c r="I138"/>
  <c r="I168"/>
  <c r="I153"/>
  <c r="E41"/>
  <c r="E43" s="1"/>
  <c r="E47" s="1"/>
  <c r="E177"/>
  <c r="E178" s="1"/>
  <c r="E179" s="1"/>
  <c r="E147"/>
  <c r="E148" s="1"/>
  <c r="E149" s="1"/>
  <c r="D38" i="21"/>
  <c r="D40" s="1"/>
  <c r="E23" i="68"/>
  <c r="E132" i="29"/>
  <c r="E133" s="1"/>
  <c r="E134" s="1"/>
  <c r="E162"/>
  <c r="E163" s="1"/>
  <c r="E164" s="1"/>
  <c r="H302" i="55"/>
  <c r="H305" s="1"/>
  <c r="I49" i="61"/>
  <c r="F18" i="21"/>
  <c r="E22" i="62" l="1"/>
  <c r="B33" i="69"/>
  <c r="C33" s="1"/>
  <c r="D33" s="1"/>
  <c r="E33" s="1"/>
  <c r="F33" s="1"/>
  <c r="G33" s="1"/>
  <c r="H33" s="1"/>
  <c r="D4" i="23"/>
  <c r="C10" s="1"/>
  <c r="D10" s="1"/>
  <c r="F10" s="1"/>
  <c r="E10" s="1"/>
  <c r="G10" s="1"/>
  <c r="C11" s="1"/>
  <c r="K19" i="62"/>
  <c r="C10" i="68"/>
  <c r="C13" s="1"/>
  <c r="H54" i="61"/>
  <c r="H55" s="1"/>
  <c r="E24" i="69" s="1"/>
  <c r="E25" i="21"/>
  <c r="F147" i="29" s="1"/>
  <c r="F148" s="1"/>
  <c r="F149" s="1"/>
  <c r="I178" i="84"/>
  <c r="I52" i="61"/>
  <c r="I54" s="1"/>
  <c r="H187" i="84"/>
  <c r="H189" s="1"/>
  <c r="H191" s="1"/>
  <c r="F23" i="21"/>
  <c r="F25" s="1"/>
  <c r="K52" i="61"/>
  <c r="H23" i="21"/>
  <c r="J187" i="84"/>
  <c r="J189" s="1"/>
  <c r="J191" s="1"/>
  <c r="J44" i="61"/>
  <c r="G10" i="69"/>
  <c r="H31" i="68" s="1"/>
  <c r="K44" i="61"/>
  <c r="H9" i="69"/>
  <c r="E29" i="68"/>
  <c r="E11"/>
  <c r="E13" s="1"/>
  <c r="D27" i="69"/>
  <c r="I129" i="29"/>
  <c r="I24" i="68"/>
  <c r="I176" i="29"/>
  <c r="I45"/>
  <c r="I146"/>
  <c r="I161"/>
  <c r="I131"/>
  <c r="P44" i="22"/>
  <c r="P65"/>
  <c r="J289" i="55"/>
  <c r="J292" s="1"/>
  <c r="K12" i="61"/>
  <c r="I144" i="29"/>
  <c r="E109"/>
  <c r="D45" i="21"/>
  <c r="G18"/>
  <c r="I302" i="55"/>
  <c r="I305" s="1"/>
  <c r="J49" i="61"/>
  <c r="I159" i="29"/>
  <c r="I39"/>
  <c r="I174"/>
  <c r="Q50" i="22"/>
  <c r="D8" i="23" l="1"/>
  <c r="F16" s="1"/>
  <c r="E38" i="21"/>
  <c r="E40" s="1"/>
  <c r="F109" i="29" s="1"/>
  <c r="F41"/>
  <c r="F43" s="1"/>
  <c r="F47" s="1"/>
  <c r="F177"/>
  <c r="F178" s="1"/>
  <c r="F179" s="1"/>
  <c r="E25" i="69"/>
  <c r="F12" i="68" s="1"/>
  <c r="F23"/>
  <c r="F162" i="29"/>
  <c r="F163" s="1"/>
  <c r="F164" s="1"/>
  <c r="F132"/>
  <c r="F133" s="1"/>
  <c r="F134" s="1"/>
  <c r="J52" i="61"/>
  <c r="J54" s="1"/>
  <c r="G23" i="21"/>
  <c r="G25" s="1"/>
  <c r="I187" i="84"/>
  <c r="I189" s="1"/>
  <c r="I191" s="1"/>
  <c r="G23" i="68"/>
  <c r="G177" i="29"/>
  <c r="G178" s="1"/>
  <c r="G179" s="1"/>
  <c r="G147"/>
  <c r="G148" s="1"/>
  <c r="G149" s="1"/>
  <c r="F38" i="21"/>
  <c r="F40" s="1"/>
  <c r="F45" s="1"/>
  <c r="G162" i="29"/>
  <c r="G163" s="1"/>
  <c r="G164" s="1"/>
  <c r="G132"/>
  <c r="G133" s="1"/>
  <c r="G134" s="1"/>
  <c r="G41"/>
  <c r="G43" s="1"/>
  <c r="G47" s="1"/>
  <c r="I55" i="61"/>
  <c r="F24" i="69" s="1"/>
  <c r="G29" i="68" s="1"/>
  <c r="F25" i="69"/>
  <c r="I31" i="68"/>
  <c r="F11"/>
  <c r="F29"/>
  <c r="P45" i="22"/>
  <c r="P66"/>
  <c r="G97" s="1"/>
  <c r="P46"/>
  <c r="H18" i="21"/>
  <c r="H25" s="1"/>
  <c r="J302" i="55"/>
  <c r="J305" s="1"/>
  <c r="K49" i="61"/>
  <c r="K54" s="1"/>
  <c r="Q52" i="22"/>
  <c r="D11" i="23"/>
  <c r="F11" s="1"/>
  <c r="E11" s="1"/>
  <c r="G11" s="1"/>
  <c r="C12" s="1"/>
  <c r="D12" s="1"/>
  <c r="F12" s="1"/>
  <c r="E12" s="1"/>
  <c r="Q51" i="22"/>
  <c r="F66" i="23" l="1"/>
  <c r="F39"/>
  <c r="F59"/>
  <c r="F51"/>
  <c r="F58"/>
  <c r="F35"/>
  <c r="F69"/>
  <c r="F25"/>
  <c r="F62"/>
  <c r="F46"/>
  <c r="F68"/>
  <c r="F37"/>
  <c r="F49"/>
  <c r="F67"/>
  <c r="F21"/>
  <c r="F31"/>
  <c r="F27"/>
  <c r="F65"/>
  <c r="F48"/>
  <c r="F24"/>
  <c r="F47"/>
  <c r="F64"/>
  <c r="F19"/>
  <c r="F42"/>
  <c r="F55"/>
  <c r="F22"/>
  <c r="F17"/>
  <c r="F43"/>
  <c r="F40"/>
  <c r="F44"/>
  <c r="F57"/>
  <c r="F33"/>
  <c r="F53"/>
  <c r="F56"/>
  <c r="F32"/>
  <c r="F52"/>
  <c r="F20"/>
  <c r="F29"/>
  <c r="F60"/>
  <c r="F54"/>
  <c r="F28"/>
  <c r="F30"/>
  <c r="F41"/>
  <c r="F38"/>
  <c r="F50"/>
  <c r="F34"/>
  <c r="F18"/>
  <c r="F26"/>
  <c r="F61"/>
  <c r="F36"/>
  <c r="F45"/>
  <c r="F63"/>
  <c r="F23"/>
  <c r="F13" i="68"/>
  <c r="E45" i="21"/>
  <c r="E27" i="69"/>
  <c r="G12" i="68"/>
  <c r="H147" i="29"/>
  <c r="H148" s="1"/>
  <c r="H149" s="1"/>
  <c r="H162"/>
  <c r="H163" s="1"/>
  <c r="H164" s="1"/>
  <c r="H23" i="68"/>
  <c r="H41" i="29"/>
  <c r="H43" s="1"/>
  <c r="H47" s="1"/>
  <c r="G38" i="21"/>
  <c r="G40" s="1"/>
  <c r="G45" s="1"/>
  <c r="H177" i="29"/>
  <c r="H178" s="1"/>
  <c r="H179" s="1"/>
  <c r="H132"/>
  <c r="H133" s="1"/>
  <c r="H134" s="1"/>
  <c r="G25" i="69"/>
  <c r="J55" i="61"/>
  <c r="G24" i="69" s="1"/>
  <c r="H29" i="68" s="1"/>
  <c r="F27" i="69"/>
  <c r="G109" i="29"/>
  <c r="G11" i="68"/>
  <c r="G13" s="1"/>
  <c r="K55" i="61"/>
  <c r="H24" i="69" s="1"/>
  <c r="H25"/>
  <c r="Q43" i="22"/>
  <c r="P68"/>
  <c r="P67"/>
  <c r="I41" i="29"/>
  <c r="I43" s="1"/>
  <c r="I47" s="1"/>
  <c r="I23" i="68"/>
  <c r="I162" i="29"/>
  <c r="I163" s="1"/>
  <c r="I164" s="1"/>
  <c r="I132"/>
  <c r="I133" s="1"/>
  <c r="I134" s="1"/>
  <c r="I147"/>
  <c r="I148" s="1"/>
  <c r="I149" s="1"/>
  <c r="I177"/>
  <c r="I178" s="1"/>
  <c r="I179" s="1"/>
  <c r="H38" i="21"/>
  <c r="H40" s="1"/>
  <c r="G12" i="23"/>
  <c r="C13" s="1"/>
  <c r="H109" i="29" l="1"/>
  <c r="G27" i="69"/>
  <c r="H11" i="68"/>
  <c r="C49" i="29"/>
  <c r="D28" i="62" s="1"/>
  <c r="I12" i="68"/>
  <c r="H12"/>
  <c r="I29"/>
  <c r="I11"/>
  <c r="H27" i="69"/>
  <c r="H31" s="1"/>
  <c r="Q44" i="22"/>
  <c r="Q65"/>
  <c r="I109" i="29"/>
  <c r="H45" i="21"/>
  <c r="D13" i="23"/>
  <c r="H13" i="68" l="1"/>
  <c r="I13"/>
  <c r="Q46" i="22"/>
  <c r="Q68" s="1"/>
  <c r="Q66"/>
  <c r="H97" s="1"/>
  <c r="Q45"/>
  <c r="Q67" s="1"/>
  <c r="F13" i="23"/>
  <c r="E13" s="1"/>
  <c r="G13" l="1"/>
  <c r="C14" s="1"/>
  <c r="D14" l="1"/>
  <c r="F14" l="1"/>
  <c r="E14" s="1"/>
  <c r="G14" l="1"/>
  <c r="C15" s="1"/>
  <c r="D15" l="1"/>
  <c r="F15" s="1"/>
  <c r="E15" s="1"/>
  <c r="G15" l="1"/>
  <c r="C16" s="1"/>
  <c r="D16" l="1"/>
  <c r="E16" s="1"/>
  <c r="G16" s="1"/>
  <c r="C17" s="1"/>
  <c r="D17" l="1"/>
  <c r="E17" s="1"/>
  <c r="G17" s="1"/>
  <c r="C18" s="1"/>
  <c r="D18" l="1"/>
  <c r="E18" s="1"/>
  <c r="G18" l="1"/>
  <c r="C19" s="1"/>
  <c r="D19" s="1"/>
  <c r="E19" s="1"/>
  <c r="G19" l="1"/>
  <c r="C20" s="1"/>
  <c r="D20" s="1"/>
  <c r="E20" s="1"/>
  <c r="G20" s="1"/>
  <c r="C21" s="1"/>
  <c r="D21" l="1"/>
  <c r="E21" l="1"/>
  <c r="C27" i="68"/>
  <c r="C26" l="1"/>
  <c r="C112" i="29" s="1"/>
  <c r="G21" i="23"/>
  <c r="B47" i="21"/>
  <c r="B49" s="1"/>
  <c r="C110" i="29"/>
  <c r="C22" i="23" l="1"/>
  <c r="D22" s="1"/>
  <c r="E22" s="1"/>
  <c r="B28" i="69"/>
  <c r="B31" s="1"/>
  <c r="C114" i="29"/>
  <c r="B95" i="22"/>
  <c r="B98" s="1"/>
  <c r="J40" i="21"/>
  <c r="J42" s="1"/>
  <c r="B99" i="22" l="1"/>
  <c r="B50" i="21" s="1"/>
  <c r="G22" i="23"/>
  <c r="C23" s="1"/>
  <c r="C30" i="68" l="1"/>
  <c r="B51" i="21"/>
  <c r="C80" i="29" s="1"/>
  <c r="D23" i="23"/>
  <c r="D9" i="29" l="1"/>
  <c r="D14" s="1"/>
  <c r="D15" s="1"/>
  <c r="C32" i="68"/>
  <c r="C33" s="1"/>
  <c r="C35" s="1"/>
  <c r="D95" i="29"/>
  <c r="D98" s="1"/>
  <c r="D99" s="1"/>
  <c r="C58"/>
  <c r="C63" s="1"/>
  <c r="C67" s="1"/>
  <c r="B53" i="21"/>
  <c r="B37" i="69" s="1"/>
  <c r="B39" s="1"/>
  <c r="E23" i="23"/>
  <c r="B8" i="69" l="1"/>
  <c r="B11" s="1"/>
  <c r="B20" s="1"/>
  <c r="D34" i="68"/>
  <c r="G23" i="23"/>
  <c r="C24" s="1"/>
  <c r="C36" i="69"/>
  <c r="B41"/>
  <c r="B43" s="1"/>
  <c r="B46" l="1"/>
  <c r="D24" i="23"/>
  <c r="E24" l="1"/>
  <c r="G24" l="1"/>
  <c r="C25" s="1"/>
  <c r="D25" l="1"/>
  <c r="E25" l="1"/>
  <c r="G25" l="1"/>
  <c r="C26" s="1"/>
  <c r="D26" l="1"/>
  <c r="E26" l="1"/>
  <c r="G26" l="1"/>
  <c r="C27" s="1"/>
  <c r="D27" l="1"/>
  <c r="E27" s="1"/>
  <c r="G27" s="1"/>
  <c r="C28" s="1"/>
  <c r="D28" l="1"/>
  <c r="E28" s="1"/>
  <c r="G28" s="1"/>
  <c r="C29" s="1"/>
  <c r="D29" l="1"/>
  <c r="E29" s="1"/>
  <c r="G29" s="1"/>
  <c r="C30" s="1"/>
  <c r="D30" l="1"/>
  <c r="E30" s="1"/>
  <c r="G30" s="1"/>
  <c r="C31" s="1"/>
  <c r="D31" l="1"/>
  <c r="E31" s="1"/>
  <c r="G31" s="1"/>
  <c r="C32" s="1"/>
  <c r="D32" l="1"/>
  <c r="E32" s="1"/>
  <c r="G32" s="1"/>
  <c r="C33" s="1"/>
  <c r="D33" l="1"/>
  <c r="E33" l="1"/>
  <c r="D27" i="68"/>
  <c r="C47" i="21" l="1"/>
  <c r="C49" s="1"/>
  <c r="D110" i="29"/>
  <c r="D26" i="68"/>
  <c r="D112" i="29" s="1"/>
  <c r="G33" i="23"/>
  <c r="D114" i="29" l="1"/>
  <c r="C34" i="23"/>
  <c r="C28" i="69"/>
  <c r="C31" s="1"/>
  <c r="C95" i="22"/>
  <c r="C98" s="1"/>
  <c r="C99" l="1"/>
  <c r="C50" i="21" s="1"/>
  <c r="D34" i="23"/>
  <c r="D30" i="68" l="1"/>
  <c r="C51" i="21"/>
  <c r="E95" i="29" s="1"/>
  <c r="E98" s="1"/>
  <c r="E99" s="1"/>
  <c r="E34" i="23"/>
  <c r="D32" i="68" l="1"/>
  <c r="D33" s="1"/>
  <c r="D35" s="1"/>
  <c r="C37" i="69"/>
  <c r="C39" s="1"/>
  <c r="D36" s="1"/>
  <c r="D58" i="29"/>
  <c r="D63" s="1"/>
  <c r="D67" s="1"/>
  <c r="E9"/>
  <c r="E14" s="1"/>
  <c r="E15" s="1"/>
  <c r="D80"/>
  <c r="C53" i="21"/>
  <c r="G34" i="23"/>
  <c r="C35" s="1"/>
  <c r="E34" i="68" l="1"/>
  <c r="C8" i="69"/>
  <c r="C11" s="1"/>
  <c r="C20" s="1"/>
  <c r="C41"/>
  <c r="C43" s="1"/>
  <c r="D35" i="23"/>
  <c r="C46" i="69" l="1"/>
  <c r="E35" i="23"/>
  <c r="G35" l="1"/>
  <c r="C36" s="1"/>
  <c r="D36" l="1"/>
  <c r="E36" l="1"/>
  <c r="G36" l="1"/>
  <c r="C37" s="1"/>
  <c r="D37" l="1"/>
  <c r="E37" l="1"/>
  <c r="G37" l="1"/>
  <c r="C38" s="1"/>
  <c r="D38" l="1"/>
  <c r="E38" l="1"/>
  <c r="G38" l="1"/>
  <c r="C39" s="1"/>
  <c r="D39" l="1"/>
  <c r="E39" s="1"/>
  <c r="G39" s="1"/>
  <c r="C40" s="1"/>
  <c r="D40" l="1"/>
  <c r="E40" s="1"/>
  <c r="G40" s="1"/>
  <c r="C41" s="1"/>
  <c r="D41" l="1"/>
  <c r="E41" s="1"/>
  <c r="G41" s="1"/>
  <c r="C42" s="1"/>
  <c r="D42" l="1"/>
  <c r="E42" s="1"/>
  <c r="G42" s="1"/>
  <c r="C43" s="1"/>
  <c r="D43" l="1"/>
  <c r="E43" s="1"/>
  <c r="G43" s="1"/>
  <c r="C44" s="1"/>
  <c r="D44" l="1"/>
  <c r="E44" s="1"/>
  <c r="G44" s="1"/>
  <c r="C45" s="1"/>
  <c r="D45" l="1"/>
  <c r="E45" l="1"/>
  <c r="E27" i="68"/>
  <c r="D47" i="21" l="1"/>
  <c r="D49" s="1"/>
  <c r="E110" i="29"/>
  <c r="E26" i="68"/>
  <c r="E112" i="29" s="1"/>
  <c r="G45" i="23"/>
  <c r="E114" i="29" l="1"/>
  <c r="C46" i="23"/>
  <c r="D28" i="69"/>
  <c r="D31" s="1"/>
  <c r="D95" i="22"/>
  <c r="D98" s="1"/>
  <c r="D99" l="1"/>
  <c r="D50" i="21" s="1"/>
  <c r="D46" i="23"/>
  <c r="E30" i="68" l="1"/>
  <c r="D51" i="21"/>
  <c r="F9" i="29" s="1"/>
  <c r="F14" s="1"/>
  <c r="E46" i="23"/>
  <c r="E32" i="68" l="1"/>
  <c r="E33" s="1"/>
  <c r="E35" s="1"/>
  <c r="D53" i="21"/>
  <c r="E58" i="29"/>
  <c r="E63" s="1"/>
  <c r="E67" s="1"/>
  <c r="F95"/>
  <c r="F98" s="1"/>
  <c r="F99" s="1"/>
  <c r="D37" i="69"/>
  <c r="D39" s="1"/>
  <c r="E36" s="1"/>
  <c r="E80" i="29"/>
  <c r="G46" i="23"/>
  <c r="C47" s="1"/>
  <c r="F15" i="29"/>
  <c r="F34" i="68" l="1"/>
  <c r="D8" i="69"/>
  <c r="D11" s="1"/>
  <c r="D20" s="1"/>
  <c r="D41"/>
  <c r="D43" s="1"/>
  <c r="D47" i="23"/>
  <c r="D46" i="69" l="1"/>
  <c r="E47" i="23"/>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7" i="68"/>
  <c r="E47" i="21" l="1"/>
  <c r="E49" s="1"/>
  <c r="F110" i="29"/>
  <c r="F26" i="68"/>
  <c r="F112" i="29" s="1"/>
  <c r="G57" i="23"/>
  <c r="C58" l="1"/>
  <c r="E28" i="69"/>
  <c r="E31" s="1"/>
  <c r="F114" i="29"/>
  <c r="E95" i="22"/>
  <c r="E98" s="1"/>
  <c r="E99" l="1"/>
  <c r="E50" i="21" s="1"/>
  <c r="D58" i="23"/>
  <c r="F30" i="68" l="1"/>
  <c r="E51" i="21"/>
  <c r="E37" i="69" s="1"/>
  <c r="E39" s="1"/>
  <c r="E58" i="23"/>
  <c r="F32" i="68" l="1"/>
  <c r="F33" s="1"/>
  <c r="F35" s="1"/>
  <c r="E53" i="21"/>
  <c r="F80" i="29"/>
  <c r="G9"/>
  <c r="G14" s="1"/>
  <c r="G15" s="1"/>
  <c r="F58"/>
  <c r="F63" s="1"/>
  <c r="F67" s="1"/>
  <c r="G95"/>
  <c r="G98" s="1"/>
  <c r="G99" s="1"/>
  <c r="F36" i="69"/>
  <c r="E41"/>
  <c r="E43" s="1"/>
  <c r="G58" i="23"/>
  <c r="C59" s="1"/>
  <c r="E8" i="69" l="1"/>
  <c r="E11" s="1"/>
  <c r="E20" s="1"/>
  <c r="E46" s="1"/>
  <c r="G34" i="68"/>
  <c r="D59" i="23"/>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D67" l="1"/>
  <c r="E67" s="1"/>
  <c r="G67" s="1"/>
  <c r="C68" s="1"/>
  <c r="D68" l="1"/>
  <c r="E68" s="1"/>
  <c r="G68" s="1"/>
  <c r="C69" s="1"/>
  <c r="D69" l="1"/>
  <c r="E69" l="1"/>
  <c r="G27" i="68"/>
  <c r="F47" i="21" l="1"/>
  <c r="F49" s="1"/>
  <c r="G110" i="29"/>
  <c r="G26" i="68"/>
  <c r="G112" i="29" s="1"/>
  <c r="G69" i="23"/>
  <c r="G114" i="29" l="1"/>
  <c r="C70" i="23"/>
  <c r="F28" i="69"/>
  <c r="F31" s="1"/>
  <c r="F95" i="22"/>
  <c r="F98" s="1"/>
  <c r="F99" l="1"/>
  <c r="F50" i="21" s="1"/>
  <c r="D70" i="23"/>
  <c r="G30" i="68" l="1"/>
  <c r="F51" i="21"/>
  <c r="G58" i="29" s="1"/>
  <c r="G63" s="1"/>
  <c r="G67" s="1"/>
  <c r="E70" i="23"/>
  <c r="G32" i="68" l="1"/>
  <c r="G33" s="1"/>
  <c r="G35" s="1"/>
  <c r="F53" i="21"/>
  <c r="G80" i="29"/>
  <c r="F37" i="69"/>
  <c r="F39" s="1"/>
  <c r="G36" s="1"/>
  <c r="H95" i="29"/>
  <c r="H98" s="1"/>
  <c r="H99" s="1"/>
  <c r="H9"/>
  <c r="H14" s="1"/>
  <c r="H15" s="1"/>
  <c r="G70" i="23"/>
  <c r="C71" s="1"/>
  <c r="H34" i="68" l="1"/>
  <c r="F8" i="69"/>
  <c r="F11" s="1"/>
  <c r="F20" s="1"/>
  <c r="F41"/>
  <c r="F43" s="1"/>
  <c r="D101" i="29"/>
  <c r="D32" i="62" s="1"/>
  <c r="D71" i="23"/>
  <c r="F46" i="69" l="1"/>
  <c r="E71" i="23"/>
  <c r="G71" l="1"/>
  <c r="C72" s="1"/>
  <c r="D72" l="1"/>
  <c r="E72" l="1"/>
  <c r="G72" l="1"/>
  <c r="C73" s="1"/>
  <c r="D73" l="1"/>
  <c r="E73" l="1"/>
  <c r="G73" l="1"/>
  <c r="C74" s="1"/>
  <c r="D74" l="1"/>
  <c r="E74" l="1"/>
  <c r="G74" l="1"/>
  <c r="C75" s="1"/>
  <c r="D75" l="1"/>
  <c r="E75" s="1"/>
  <c r="G75" s="1"/>
  <c r="C76" s="1"/>
  <c r="D76" l="1"/>
  <c r="E76" s="1"/>
  <c r="G76" s="1"/>
  <c r="C77" s="1"/>
  <c r="D77" l="1"/>
  <c r="E77" s="1"/>
  <c r="G77" s="1"/>
  <c r="C78" s="1"/>
  <c r="D78" l="1"/>
  <c r="E78" s="1"/>
  <c r="G78" s="1"/>
  <c r="C79" s="1"/>
  <c r="D79" l="1"/>
  <c r="E79" s="1"/>
  <c r="G79" s="1"/>
  <c r="C80" s="1"/>
  <c r="D80" l="1"/>
  <c r="E80" s="1"/>
  <c r="G80" s="1"/>
  <c r="C81" s="1"/>
  <c r="D81" l="1"/>
  <c r="E81" l="1"/>
  <c r="H27" i="68"/>
  <c r="G47" i="21" l="1"/>
  <c r="G49" s="1"/>
  <c r="H110" i="29"/>
  <c r="H26" i="68"/>
  <c r="H112" i="29" s="1"/>
  <c r="G81" i="23"/>
  <c r="C82" l="1"/>
  <c r="G28" i="69"/>
  <c r="G31" s="1"/>
  <c r="G95" i="22"/>
  <c r="G98" s="1"/>
  <c r="G99" l="1"/>
  <c r="G50" i="21" s="1"/>
  <c r="D82" i="23"/>
  <c r="H30" i="68" l="1"/>
  <c r="G51" i="21"/>
  <c r="I95" i="29" s="1"/>
  <c r="I98" s="1"/>
  <c r="E82" i="23"/>
  <c r="H32" i="68" l="1"/>
  <c r="H33" s="1"/>
  <c r="H35" s="1"/>
  <c r="G37" i="69"/>
  <c r="G39" s="1"/>
  <c r="G41" s="1"/>
  <c r="G43" s="1"/>
  <c r="H58" i="29"/>
  <c r="H63" s="1"/>
  <c r="H67" s="1"/>
  <c r="H80"/>
  <c r="G53" i="21"/>
  <c r="I9" i="29"/>
  <c r="I14" s="1"/>
  <c r="I15" s="1"/>
  <c r="G82" i="23"/>
  <c r="C83" s="1"/>
  <c r="H36" i="69" l="1"/>
  <c r="G8"/>
  <c r="G11" s="1"/>
  <c r="G20" s="1"/>
  <c r="G46" s="1"/>
  <c r="I34" i="68"/>
  <c r="D83" i="23"/>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E93" l="1"/>
  <c r="D94"/>
  <c r="I27" i="68"/>
  <c r="H47" i="21" l="1"/>
  <c r="H49" s="1"/>
  <c r="I110" i="29"/>
  <c r="E94" i="23"/>
  <c r="I26" i="68"/>
  <c r="I112" i="29" s="1"/>
  <c r="G93" i="23"/>
  <c r="C116" i="29" l="1"/>
  <c r="D33" i="62" s="1"/>
  <c r="H95" i="22"/>
  <c r="H98" s="1"/>
  <c r="H99" l="1"/>
  <c r="H50" i="21" s="1"/>
  <c r="I30" i="68" l="1"/>
  <c r="H51" i="21"/>
  <c r="J9" i="29" s="1"/>
  <c r="J14" s="1"/>
  <c r="I32" i="68" l="1"/>
  <c r="I33" s="1"/>
  <c r="I35" s="1"/>
  <c r="H8" i="69" s="1"/>
  <c r="H11" s="1"/>
  <c r="H20" s="1"/>
  <c r="H37"/>
  <c r="H39" s="1"/>
  <c r="H41" s="1"/>
  <c r="H43" s="1"/>
  <c r="I80" i="29"/>
  <c r="C82" s="1"/>
  <c r="C85" s="1"/>
  <c r="D29" i="62" s="1"/>
  <c r="H53" i="21"/>
  <c r="J95" i="29"/>
  <c r="J98" s="1"/>
  <c r="I58"/>
  <c r="I63" s="1"/>
  <c r="I67" s="1"/>
  <c r="C69" s="1"/>
  <c r="C73" s="1"/>
  <c r="D31" i="62" s="1"/>
  <c r="J15" i="29"/>
  <c r="C16" s="1"/>
  <c r="H46" i="69" l="1"/>
  <c r="D18" i="29"/>
  <c r="D30" i="62"/>
  <c r="E18" i="29" l="1"/>
  <c r="D19"/>
  <c r="F18" l="1"/>
  <c r="E19"/>
  <c r="G18" l="1"/>
  <c r="F19"/>
  <c r="H18" l="1"/>
  <c r="G19"/>
  <c r="I18" l="1"/>
  <c r="H19"/>
  <c r="J18" l="1"/>
  <c r="J19" s="1"/>
  <c r="I19"/>
  <c r="D20" l="1"/>
  <c r="F23" s="1"/>
</calcChain>
</file>

<file path=xl/sharedStrings.xml><?xml version="1.0" encoding="utf-8"?>
<sst xmlns="http://schemas.openxmlformats.org/spreadsheetml/2006/main" count="1475" uniqueCount="755">
  <si>
    <t>Note for users</t>
  </si>
  <si>
    <t xml:space="preserve">Draft Business Plan Financial Calculator </t>
  </si>
  <si>
    <t xml:space="preserve">1.0 About the calculator </t>
  </si>
  <si>
    <t xml:space="preserve">2.0 Features </t>
  </si>
  <si>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</si>
  <si>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</si>
  <si>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</si>
  <si>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</si>
  <si>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</si>
  <si>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</si>
  <si>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</si>
  <si>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</si>
  <si>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</si>
  <si>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</si>
  <si>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</si>
  <si>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</si>
  <si>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</si>
  <si>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</si>
  <si>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</si>
  <si>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</si>
  <si>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</si>
  <si>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</si>
  <si>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</si>
  <si>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</si>
  <si>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</si>
  <si>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</si>
  <si>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</si>
  <si>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</si>
  <si>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</si>
  <si>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</si>
  <si>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</si>
  <si>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</si>
  <si>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</si>
  <si>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</si>
  <si>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</si>
  <si>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</si>
  <si>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</si>
  <si>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</si>
  <si>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</si>
  <si>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</si>
  <si>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</si>
  <si>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</si>
  <si>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</si>
  <si>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</si>
  <si>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</si>
  <si>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</si>
  <si>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</si>
  <si>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</si>
  <si>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</si>
  <si>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</si>
  <si>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</si>
  <si>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</si>
  <si>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</si>
  <si>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</si>
  <si>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</si>
  <si>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</si>
  <si>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</si>
  <si>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</si>
  <si>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</si>
  <si>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</si>
  <si>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</si>
  <si>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</si>
  <si>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</si>
  <si>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</si>
  <si>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</si>
  <si>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</si>
  <si>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</si>
  <si>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</si>
  <si>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</si>
  <si>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</si>
  <si>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</si>
  <si>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</si>
  <si>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</si>
  <si>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</si>
  <si>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</si>
  <si>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</si>
  <si>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</si>
  <si>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</si>
  <si>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</si>
  <si>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</si>
  <si>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</si>
  <si>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</si>
  <si>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</si>
  <si>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</si>
  <si>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</si>
  <si>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</si>
  <si>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</si>
  <si>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</si>
  <si>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</si>
  <si>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</si>
  <si>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</si>
  <si>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</si>
  <si>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</si>
  <si>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</si>
  <si>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</si>
  <si>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</si>
  <si>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</si>
  <si>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</si>
  <si>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</si>
  <si>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</si>
  <si>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</si>
  <si>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</si>
  <si>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</si>
  <si>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Internal Rate of Return (IRR)</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</si>
  <si>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</si>
  <si>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</si>
  <si>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</si>
  <si>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</si>
  <si>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</si>
  <si>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</si>
  <si>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</si>
  <si>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</si>
  <si>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</si>
  <si>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</si>
  <si>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Land and Building</t>
  </si>
  <si>
    <t>Unit</t>
  </si>
  <si>
    <t>No. of Unit</t>
  </si>
  <si>
    <t>Rate per unit</t>
  </si>
  <si>
    <t>Land</t>
  </si>
  <si>
    <t>Sq. ft.</t>
  </si>
  <si>
    <t>Lease</t>
  </si>
  <si>
    <t>Factory Shed</t>
  </si>
  <si>
    <t>This Sheet provide details of land and various construction, including area, rate per unit and total amount</t>
  </si>
  <si>
    <t>Machinery and Equipment</t>
  </si>
  <si>
    <t>Capacity</t>
  </si>
  <si>
    <t>No. Required</t>
  </si>
  <si>
    <t>Rate</t>
  </si>
  <si>
    <t>Total HP</t>
  </si>
  <si>
    <t>Custom Hiring</t>
  </si>
  <si>
    <t>Subtotal</t>
  </si>
  <si>
    <t>C</t>
  </si>
  <si>
    <t>Cleaning &amp; Grading</t>
  </si>
  <si>
    <t>D</t>
  </si>
  <si>
    <t>F &amp; V Processing Machainary</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</si>
  <si>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</si>
  <si>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</si>
  <si>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</si>
  <si>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</si>
  <si>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MSEB AND OTHER</t>
  </si>
  <si>
    <t>Transport vehical  (Refer van and other)</t>
  </si>
  <si>
    <t>This Sheet provide details of vehicles, no.of vehicle, rate per vehicle and total amount</t>
  </si>
  <si>
    <t>Preliminary Expenses</t>
  </si>
  <si>
    <t>Amount  (Rs.)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</si>
  <si>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</si>
  <si>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</si>
  <si>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</si>
  <si>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</si>
  <si>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</si>
  <si>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</si>
  <si>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</si>
  <si>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</si>
  <si>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</si>
  <si>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</si>
  <si>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</si>
  <si>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</si>
  <si>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</si>
  <si>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</si>
  <si>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</si>
  <si>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</si>
  <si>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</si>
  <si>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</si>
  <si>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</si>
  <si>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</si>
  <si>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</si>
  <si>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</si>
  <si>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</si>
  <si>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</si>
  <si>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</si>
  <si>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</si>
  <si>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</si>
  <si>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</si>
  <si>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</si>
  <si>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</si>
  <si>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</si>
  <si>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</si>
  <si>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</si>
  <si>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</si>
  <si>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</si>
  <si>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</si>
  <si>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</si>
  <si>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</si>
  <si>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</si>
  <si>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</si>
  <si>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</si>
  <si>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</si>
  <si>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</si>
  <si>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</si>
  <si>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</si>
  <si>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</si>
  <si>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</si>
  <si>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</si>
  <si>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</si>
  <si>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</si>
  <si>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</si>
  <si>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</si>
  <si>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</si>
  <si>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</si>
  <si>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</si>
  <si>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</si>
  <si>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</si>
  <si>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</si>
  <si>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</si>
  <si>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</si>
  <si>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</si>
  <si>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</si>
  <si>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</si>
  <si>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</si>
  <si>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</si>
  <si>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</si>
  <si>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</si>
  <si>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</si>
  <si>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</si>
  <si>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</si>
  <si>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</si>
  <si>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</si>
  <si>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</si>
  <si>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</si>
  <si>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</si>
  <si>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</si>
  <si>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</si>
  <si>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</si>
  <si>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</si>
  <si>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</si>
  <si>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</si>
  <si>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</si>
  <si>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</si>
  <si>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</si>
  <si>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</si>
  <si>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</si>
  <si>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</si>
  <si>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</si>
  <si>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</si>
  <si>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</si>
  <si>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</si>
  <si>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</si>
  <si>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</si>
  <si>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</si>
  <si>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</si>
  <si>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</si>
  <si>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</si>
  <si>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</si>
  <si>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</si>
  <si>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</si>
  <si>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</si>
  <si>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</si>
  <si>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</si>
  <si>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</si>
  <si>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</si>
  <si>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</si>
  <si>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</si>
  <si>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</si>
  <si>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</si>
  <si>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</si>
  <si>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</si>
  <si>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</si>
  <si>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</si>
  <si>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</si>
  <si>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</si>
  <si>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</si>
  <si>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</si>
  <si>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</si>
  <si>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</si>
  <si>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</si>
  <si>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</si>
  <si>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</si>
  <si>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</si>
  <si>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</si>
  <si>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</si>
  <si>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</si>
  <si>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</si>
  <si>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</si>
  <si>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</si>
  <si>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</si>
  <si>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</si>
  <si>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</si>
  <si>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</si>
  <si>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</si>
  <si>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</si>
  <si>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</si>
  <si>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</si>
  <si>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</si>
  <si>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</si>
  <si>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</si>
  <si>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</si>
  <si>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</si>
  <si>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</si>
  <si>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</si>
  <si>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</si>
  <si>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</si>
  <si>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</si>
  <si>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</si>
  <si>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</si>
  <si>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</si>
  <si>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</si>
  <si>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</si>
  <si>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</si>
  <si>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</si>
  <si>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</si>
  <si>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</si>
  <si>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</si>
  <si>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</si>
  <si>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</si>
  <si>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</si>
  <si>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</si>
  <si>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</si>
  <si>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</si>
  <si>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</si>
  <si>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</si>
  <si>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</si>
  <si>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9%</t>
  </si>
  <si>
    <t>Moratorium Period 12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</si>
  <si>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</si>
  <si>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</si>
  <si>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</si>
  <si>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</si>
  <si>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</si>
  <si>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</si>
  <si>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</si>
  <si>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</si>
  <si>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</si>
  <si>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</si>
  <si>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</si>
  <si>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</si>
  <si>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Rice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</si>
  <si>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</si>
  <si>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</si>
  <si>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</si>
  <si>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</si>
  <si>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</si>
  <si>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</si>
  <si>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5.2 Working Capital Calculation</t>
  </si>
  <si>
    <t>Duration (In days)</t>
  </si>
  <si>
    <t>Accounts Receivables (Debtors)</t>
  </si>
  <si>
    <t>Rice Mill</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</si>
  <si>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</si>
  <si>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</si>
  <si>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</si>
  <si>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</si>
  <si>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</si>
  <si>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</si>
  <si>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</si>
  <si>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</si>
  <si>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</si>
  <si>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</si>
  <si>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</si>
  <si>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</si>
  <si>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</si>
  <si>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</si>
  <si>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</si>
  <si>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</si>
  <si>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</si>
  <si>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</si>
  <si>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</si>
  <si>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</si>
  <si>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</si>
  <si>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</si>
  <si>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</si>
  <si>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</si>
  <si>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</si>
  <si>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</si>
  <si>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</si>
  <si>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</si>
  <si>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</si>
  <si>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</si>
  <si>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</si>
  <si>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</si>
  <si>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</si>
  <si>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</si>
  <si>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</si>
  <si>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</si>
  <si>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</si>
  <si>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</si>
  <si>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</si>
  <si>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</si>
  <si>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</si>
  <si>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</si>
  <si>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</si>
  <si>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</si>
  <si>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</si>
  <si>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</si>
  <si>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</si>
  <si>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</si>
  <si>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</si>
  <si>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</si>
  <si>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</si>
  <si>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</si>
  <si>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</si>
  <si>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</si>
  <si>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</si>
  <si>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</si>
  <si>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</si>
  <si>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</si>
  <si>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</si>
  <si>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</si>
  <si>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</si>
  <si>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</si>
  <si>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</si>
  <si>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</si>
  <si>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</si>
  <si>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</si>
  <si>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</si>
  <si>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</si>
  <si>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</si>
  <si>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</si>
  <si>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</si>
  <si>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</si>
  <si>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</si>
  <si>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</si>
  <si>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</si>
  <si>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</si>
  <si>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</si>
  <si>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</si>
  <si>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</si>
  <si>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</si>
  <si>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</si>
  <si>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</si>
  <si>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</si>
  <si>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</si>
  <si>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</si>
  <si>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</si>
  <si>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</si>
  <si>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</si>
  <si>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</si>
  <si>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</si>
  <si>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</si>
  <si>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</si>
  <si>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</si>
  <si>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</si>
  <si>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</si>
  <si>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</si>
  <si>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</si>
  <si>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</si>
  <si>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</si>
  <si>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</si>
  <si>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</si>
  <si>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</si>
  <si>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</si>
  <si>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</si>
  <si>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</si>
  <si>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</si>
  <si>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</si>
  <si>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</si>
  <si>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</si>
  <si>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</si>
  <si>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</si>
  <si>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</si>
  <si>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</si>
  <si>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</si>
  <si>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</si>
  <si>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</si>
  <si>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</si>
  <si>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</si>
  <si>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</si>
  <si>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</si>
  <si>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</si>
  <si>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</si>
  <si>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</si>
  <si>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</si>
  <si>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</si>
  <si>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</si>
  <si>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</si>
  <si>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</si>
  <si>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</si>
  <si>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</si>
  <si>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</si>
  <si>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</si>
  <si>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</si>
  <si>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</si>
  <si>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</si>
  <si>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</si>
  <si>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</si>
  <si>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</si>
  <si>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</si>
  <si>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</si>
  <si>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</si>
  <si>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</si>
  <si>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</si>
  <si>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</si>
  <si>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</si>
  <si>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</si>
  <si>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</si>
  <si>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</si>
  <si>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</si>
  <si>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</si>
  <si>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</si>
  <si>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</si>
  <si>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</si>
  <si>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</si>
  <si>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</si>
  <si>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</si>
  <si>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</si>
  <si>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</si>
  <si>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</si>
  <si>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</si>
  <si>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</si>
  <si>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</si>
  <si>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</si>
  <si>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</si>
  <si>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</si>
  <si>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</si>
  <si>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</si>
  <si>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</si>
  <si>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</si>
  <si>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</si>
  <si>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</si>
  <si>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</si>
  <si>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</si>
  <si>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</si>
  <si>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</si>
  <si>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</si>
  <si>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</si>
  <si>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</si>
  <si>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</si>
  <si>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</si>
  <si>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</si>
  <si>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</si>
  <si>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</si>
  <si>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</si>
  <si>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</si>
  <si>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</si>
  <si>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</si>
  <si>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</si>
  <si>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</si>
  <si>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</si>
  <si>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</si>
  <si>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</si>
  <si>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</si>
  <si>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decrease everyear year by 5 %</t>
  </si>
  <si>
    <t>70%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</si>
  <si>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</si>
  <si>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</si>
  <si>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</si>
  <si>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</si>
  <si>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</si>
  <si>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</si>
  <si>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</si>
  <si>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</si>
  <si>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</si>
  <si>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</si>
  <si>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</si>
  <si>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</si>
  <si>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</si>
  <si>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</si>
  <si>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</si>
  <si>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Cashew</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</si>
  <si>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</si>
  <si>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</si>
  <si>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</si>
  <si>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</si>
  <si>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</si>
  <si>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</si>
  <si>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</si>
  <si>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</si>
  <si>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40% of total produce of the cluster will be trade in first year and it will decrease everyear year by 5 %</t>
  </si>
  <si>
    <t>60%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</si>
  <si>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</si>
  <si>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</si>
  <si>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</si>
  <si>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</si>
  <si>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</si>
  <si>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</si>
  <si>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</si>
  <si>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</si>
  <si>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</si>
  <si>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</si>
  <si>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</si>
  <si>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</si>
  <si>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</si>
  <si>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</si>
  <si>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</si>
  <si>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</si>
  <si>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</si>
  <si>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</si>
  <si>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</si>
  <si>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</si>
  <si>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</si>
  <si>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</si>
  <si>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</si>
  <si>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</si>
  <si>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Transporation Cost/100 Kg</t>
  </si>
  <si>
    <t>Add: Opening Stock</t>
  </si>
  <si>
    <t>Less: Closing Stock</t>
  </si>
  <si>
    <t>Manager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</si>
  <si>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</si>
  <si>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</si>
  <si>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</si>
  <si>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</si>
  <si>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</si>
  <si>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</si>
  <si>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</si>
  <si>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Ricl Mill</t>
  </si>
  <si>
    <t>13.1 Producers/ Capacity Utilization</t>
  </si>
  <si>
    <t>Qtls P Hour</t>
  </si>
  <si>
    <t>No. of Operation Days</t>
  </si>
  <si>
    <t>Total Quantity to be Processed</t>
  </si>
  <si>
    <t>Quanity for Processing and Trading for PC</t>
  </si>
  <si>
    <t>Output (KG)</t>
  </si>
  <si>
    <t xml:space="preserve">Paddy processing </t>
  </si>
  <si>
    <t>Husk and Powder</t>
  </si>
  <si>
    <t>Dal (80%)</t>
  </si>
  <si>
    <t>Packaging (In Kg)</t>
  </si>
  <si>
    <t>13.2 Facility 2 - Profit and loss of Grain Processing Unit - Rice Mill</t>
  </si>
  <si>
    <t>Pulses</t>
  </si>
  <si>
    <t>RICE</t>
  </si>
  <si>
    <t>25 Kg</t>
  </si>
  <si>
    <t>Kg</t>
  </si>
  <si>
    <t>Red gram</t>
  </si>
  <si>
    <t>Black gram</t>
  </si>
  <si>
    <t>Paddy purchases</t>
  </si>
  <si>
    <t xml:space="preserve">Daily Labour </t>
  </si>
  <si>
    <t>Loading/Unloading Charges</t>
  </si>
  <si>
    <t>packaging Exp</t>
  </si>
  <si>
    <t>Transportation Charges</t>
  </si>
  <si>
    <t>Machine Operator</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</si>
  <si>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</si>
  <si>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</si>
  <si>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</si>
  <si>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</si>
  <si>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</si>
  <si>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</si>
  <si>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</si>
  <si>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</si>
  <si>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</si>
  <si>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</si>
  <si>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</si>
  <si>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</si>
  <si>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</si>
  <si>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</si>
  <si>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</si>
  <si>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</si>
  <si>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</si>
  <si>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</si>
  <si>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</si>
  <si>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</si>
  <si>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</si>
  <si>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</si>
  <si>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</si>
  <si>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</si>
  <si>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</si>
  <si>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</si>
  <si>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</si>
  <si>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</si>
  <si>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</si>
  <si>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</si>
  <si>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</si>
  <si>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</si>
  <si>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</si>
  <si>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</si>
  <si>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</si>
  <si>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</si>
  <si>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</si>
  <si>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</si>
  <si>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</si>
  <si>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</si>
  <si>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</si>
  <si>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</si>
  <si>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</si>
  <si>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</si>
  <si>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</si>
  <si>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</si>
  <si>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</si>
  <si>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</si>
  <si>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</si>
  <si>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</si>
  <si>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</si>
  <si>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</si>
  <si>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</si>
  <si>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</si>
  <si>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</si>
  <si>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</si>
  <si>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</si>
  <si>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</si>
  <si>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</si>
  <si>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</si>
  <si>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</si>
  <si>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</si>
  <si>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</si>
  <si>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</si>
  <si>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</si>
  <si>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</si>
  <si>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</si>
  <si>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</si>
  <si>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</si>
  <si>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</si>
  <si>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</si>
  <si>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STANDARD KARNEL</t>
  </si>
  <si>
    <t>SHELL</t>
  </si>
  <si>
    <t>HUSK</t>
  </si>
  <si>
    <t>STANDARD KARNEL 1 Kg</t>
  </si>
  <si>
    <t>SHELL 25 kgm</t>
  </si>
  <si>
    <t>Husk1 Kg</t>
  </si>
  <si>
    <t>17.2 Activity 6 - Profit and loss of F &amp; V Processing Unit</t>
  </si>
  <si>
    <t>1Kg</t>
  </si>
  <si>
    <t>1 Kg</t>
  </si>
  <si>
    <t>Other Consumbales</t>
  </si>
  <si>
    <t>Pre operative &amp; preliminey exp</t>
  </si>
  <si>
    <t>Particulars of activities</t>
  </si>
  <si>
    <t>Q-1</t>
  </si>
  <si>
    <t>Q-2</t>
  </si>
  <si>
    <t>Q-3</t>
  </si>
  <si>
    <t>Q-4</t>
  </si>
  <si>
    <t xml:space="preserve">Construction of building </t>
  </si>
  <si>
    <t xml:space="preserve">Plant and machineries’ </t>
  </si>
  <si>
    <t>Processing Machinery</t>
  </si>
  <si>
    <t>Other ……specify</t>
  </si>
  <si>
    <t>MSEB &amp; OTHER</t>
  </si>
  <si>
    <t xml:space="preserve">Other </t>
  </si>
  <si>
    <t>Commercial Marketing</t>
  </si>
  <si>
    <t>GI Registration</t>
  </si>
  <si>
    <t xml:space="preserve">Implementation Shedule </t>
  </si>
  <si>
    <t>2023-24</t>
  </si>
  <si>
    <t>2024-25</t>
  </si>
  <si>
    <t>F. Y. 2022-23</t>
  </si>
  <si>
    <t>Cashew GI Promotion, Branding &amp; Marketing</t>
  </si>
  <si>
    <t>Factory Shed - 5000 Sq Ft</t>
  </si>
  <si>
    <t>De Shelling Machine</t>
  </si>
  <si>
    <t>Dryer</t>
  </si>
  <si>
    <t>Moisture Cabin</t>
  </si>
  <si>
    <t>Grader</t>
  </si>
  <si>
    <t>Peeling Machine</t>
  </si>
  <si>
    <t>Long Pieces Grader</t>
  </si>
  <si>
    <t>Air Compressor</t>
  </si>
  <si>
    <t>Nanopix Grading Machine</t>
  </si>
  <si>
    <t>Colour Sorter</t>
  </si>
  <si>
    <t>Tin Filling Machine</t>
  </si>
  <si>
    <t>Vaccum Packing Machine</t>
  </si>
  <si>
    <t>Gradation Table</t>
  </si>
  <si>
    <t>Cashew Cutting machine</t>
  </si>
  <si>
    <t>Cashew Boiler - Wood Fire</t>
  </si>
  <si>
    <t>Firewood</t>
  </si>
  <si>
    <t>Annual</t>
  </si>
  <si>
    <t>Insurance</t>
  </si>
  <si>
    <t>Changes in Current Liabilities</t>
  </si>
  <si>
    <t>Changes in Current Assets</t>
  </si>
  <si>
    <t xml:space="preserve">Facility 1 - Trading </t>
  </si>
  <si>
    <t>Facility 2 - Processing Unit- Rice Mill</t>
  </si>
  <si>
    <t xml:space="preserve">Facility 4 - Custom Hiring </t>
  </si>
  <si>
    <t>Facility 5 - Agri Input Centre</t>
  </si>
  <si>
    <t>Packing Bags/100 Kg</t>
  </si>
  <si>
    <t>Closing stock of each facility is 2%</t>
  </si>
  <si>
    <t>OTHER TOOLS AND Furniture</t>
  </si>
  <si>
    <t>Sr. 
No.</t>
  </si>
  <si>
    <t xml:space="preserve">RoCE  for the project shall be more than 12% </t>
  </si>
  <si>
    <t xml:space="preserve">The project internal rate of return shall be more than 10% </t>
  </si>
  <si>
    <t>Five Year Aggrigation plan (Qtl)</t>
  </si>
  <si>
    <t>Crop Name</t>
  </si>
  <si>
    <t>Job Work</t>
  </si>
  <si>
    <t>Quintal</t>
  </si>
  <si>
    <t>Cashew Cleaning Grading and Packing Machine - 1 TPH</t>
  </si>
  <si>
    <t>&gt;10%</t>
  </si>
  <si>
    <t>&gt;2</t>
  </si>
  <si>
    <r>
      <t>Add</t>
    </r>
    <r>
      <rPr>
        <sz val="11"/>
        <color indexed="8"/>
        <rFont val="Calibri"/>
        <family val="2"/>
        <scheme val="minor"/>
      </rPr>
      <t>: Deprication</t>
    </r>
  </si>
  <si>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</si>
  <si>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</si>
  <si>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Facility 1 - Processing Unit - Horti Commodity</t>
  </si>
</sst>
</file>

<file path=xl/styles.xml><?xml version="1.0" encoding="utf-8"?>
<styleSheet xmlns="http://schemas.openxmlformats.org/spreadsheetml/2006/main">
  <numFmts count="16">
    <numFmt numFmtId="43" formatCode="_(* #,##0.00_);_(* \(#,##0.00\);_(* &quot;-&quot;??_);_(@_)"/>
    <numFmt numFmtId="164" formatCode="_ * #,##0.00_ ;_ * \-#,##0.00_ ;_ * &quot;-&quot;??_ ;_ @_ "/>
    <numFmt numFmtId="165" formatCode="_-&quot;£&quot;* #,##0.00_-;\-&quot;£&quot;* #,##0.00_-;_-&quot;£&quot;* &quot;-&quot;??_-;_-@_-"/>
    <numFmt numFmtId="166" formatCode="_-* #,##0.00_-;\-* #,##0.00_-;_-* &quot;-&quot;??_-;_-@_-"/>
    <numFmt numFmtId="167" formatCode="_(* #,##0_);_(* \(#,##0\);_(* &quot;-&quot;??_);_(@_)"/>
    <numFmt numFmtId="168" formatCode="_-&quot;Rs.&quot;* #,##0.00_-;\-&quot;Rs.&quot;* #,##0.00_-;_-&quot;Rs.&quot;* &quot;-&quot;??_-;_-@_-"/>
    <numFmt numFmtId="169" formatCode="#,##0.00_ ;[Red]\-#,##0.00\ "/>
    <numFmt numFmtId="170" formatCode="0.00_ "/>
    <numFmt numFmtId="171" formatCode="_ * #,##0_ ;_ * \-#,##0_ ;_ * &quot;-&quot;??_ ;_ @_ "/>
    <numFmt numFmtId="172" formatCode="&quot;Rs.&quot;\ #,##0.00;[Red]&quot;Rs.&quot;\ \-#,##0.00"/>
    <numFmt numFmtId="173" formatCode="_-* #,##0_-;\-* #,##0_-;_-* &quot;-&quot;??_-;_-@_-"/>
    <numFmt numFmtId="174" formatCode="0.0%"/>
    <numFmt numFmtId="175" formatCode="_(* #,##0.0000_);_(* \(#,##0.0000\);_(* &quot;-&quot;??_);_(@_)"/>
    <numFmt numFmtId="176" formatCode="_ * #,##0.0_ ;_ * \-#,##0.0_ ;_ * &quot;-&quot;??_ ;_ @_ "/>
    <numFmt numFmtId="177" formatCode="0.0"/>
    <numFmt numFmtId="178" formatCode="#,##0_ ;[Red]\-#,##0\ "/>
  </numFmts>
  <fonts count="43">
    <font>
      <sz val="11"/>
      <color theme="1"/>
      <name val="Calibri"/>
      <charset val="134"/>
      <scheme val="minor"/>
    </font>
    <font>
      <sz val="11"/>
      <color theme="1"/>
      <name val="Calibri"/>
      <family val="2"/>
      <scheme val="minor"/>
    </font>
    <font>
      <sz val="11"/>
      <color theme="1"/>
      <name val="Calibri"/>
      <family val="2"/>
      <scheme val="minor"/>
    </font>
    <font>
      <sz val="11"/>
      <color indexed="8"/>
      <name val="Calibri"/>
      <family val="2"/>
    </font>
    <font>
      <u/>
      <sz val="10"/>
      <color indexed="12"/>
      <name val="Arial"/>
      <family val="2"/>
    </font>
    <font>
      <sz val="10"/>
      <name val="Arial"/>
      <family val="2"/>
    </font>
    <font>
      <sz val="11"/>
      <color theme="1"/>
      <name val="Calibri"/>
      <family val="2"/>
      <scheme val="minor"/>
    </font>
    <font>
      <sz val="11"/>
      <color theme="1"/>
      <name val="Garamond"/>
      <family val="1"/>
    </font>
    <font>
      <b/>
      <sz val="11"/>
      <color theme="1"/>
      <name val="Garamond"/>
      <family val="1"/>
    </font>
    <font>
      <b/>
      <sz val="11"/>
      <color theme="0"/>
      <name val="Garamond"/>
      <family val="1"/>
    </font>
    <font>
      <sz val="11"/>
      <color theme="0"/>
      <name val="Garamond"/>
      <family val="1"/>
    </font>
    <font>
      <b/>
      <sz val="11"/>
      <name val="Garamond"/>
      <family val="1"/>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1"/>
      <color indexed="8"/>
      <name val="Calibri"/>
      <family val="2"/>
      <scheme val="minor"/>
    </font>
    <font>
      <sz val="11"/>
      <color indexed="8"/>
      <name val="Calibri"/>
      <family val="2"/>
      <scheme val="minor"/>
    </font>
    <font>
      <sz val="11"/>
      <name val="Calibri"/>
      <family val="2"/>
      <scheme val="minor"/>
    </font>
    <font>
      <b/>
      <sz val="11"/>
      <color rgb="FF202122"/>
      <name val="Calibri"/>
      <family val="2"/>
      <scheme val="minor"/>
    </font>
    <font>
      <b/>
      <sz val="11"/>
      <color rgb="FF202124"/>
      <name val="Calibri"/>
      <family val="2"/>
      <scheme val="minor"/>
    </font>
    <font>
      <b/>
      <sz val="11"/>
      <color rgb="FF111111"/>
      <name val="Calibri"/>
      <family val="2"/>
      <scheme val="minor"/>
    </font>
    <font>
      <i/>
      <sz val="11"/>
      <color indexed="10"/>
      <name val="Calibri"/>
      <family val="2"/>
      <scheme val="minor"/>
    </font>
    <font>
      <b/>
      <sz val="11"/>
      <color indexed="56"/>
      <name val="Calibri"/>
      <family val="2"/>
      <scheme val="minor"/>
    </font>
    <font>
      <b/>
      <u/>
      <sz val="11"/>
      <name val="Calibri"/>
      <family val="2"/>
      <scheme val="minor"/>
    </font>
    <font>
      <sz val="11"/>
      <color indexed="17"/>
      <name val="Calibri"/>
      <family val="2"/>
      <scheme val="minor"/>
    </font>
    <font>
      <b/>
      <u/>
      <sz val="11"/>
      <color indexed="60"/>
      <name val="Calibri"/>
      <family val="2"/>
      <scheme val="minor"/>
    </font>
    <font>
      <sz val="11"/>
      <color indexed="60"/>
      <name val="Calibri"/>
      <family val="2"/>
      <scheme val="minor"/>
    </font>
    <font>
      <b/>
      <sz val="11"/>
      <color indexed="60"/>
      <name val="Calibri"/>
      <family val="2"/>
      <scheme val="minor"/>
    </font>
    <font>
      <b/>
      <sz val="11"/>
      <color rgb="FF222222"/>
      <name val="Calibri"/>
      <family val="2"/>
      <scheme val="minor"/>
    </font>
    <font>
      <sz val="11"/>
      <color rgb="FF222222"/>
      <name val="Calibri"/>
      <family val="2"/>
      <scheme val="minor"/>
    </font>
    <font>
      <b/>
      <sz val="11"/>
      <color rgb="FF272727"/>
      <name val="Calibri"/>
      <family val="2"/>
      <scheme val="minor"/>
    </font>
    <font>
      <sz val="11"/>
      <color rgb="FF424142"/>
      <name val="Calibri"/>
      <family val="2"/>
      <scheme val="minor"/>
    </font>
    <font>
      <b/>
      <u/>
      <sz val="11"/>
      <color indexed="8"/>
      <name val="Calibri"/>
      <family val="2"/>
      <scheme val="minor"/>
    </font>
    <font>
      <b/>
      <i/>
      <sz val="11"/>
      <color indexed="8"/>
      <name val="Calibri"/>
      <family val="2"/>
      <scheme val="minor"/>
    </font>
    <font>
      <b/>
      <u/>
      <sz val="11"/>
      <color indexed="12"/>
      <name val="Calibri"/>
      <family val="2"/>
      <scheme val="minor"/>
    </font>
    <font>
      <b/>
      <u/>
      <sz val="11"/>
      <color theme="1"/>
      <name val="Calibri"/>
      <family val="2"/>
      <scheme val="minor"/>
    </font>
    <font>
      <sz val="11"/>
      <color rgb="FFC00000"/>
      <name val="Calibri"/>
      <family val="2"/>
      <scheme val="minor"/>
    </font>
    <font>
      <b/>
      <sz val="11"/>
      <color rgb="FFC0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333300"/>
        <bgColor indexed="64"/>
      </patternFill>
    </fill>
    <fill>
      <patternFill patternType="solid">
        <fgColor theme="2" tint="-0.749992370372631"/>
        <bgColor indexed="64"/>
      </patternFill>
    </fill>
    <fill>
      <patternFill patternType="solid">
        <fgColor theme="0"/>
        <bgColor indexed="64"/>
      </patternFill>
    </fill>
    <fill>
      <patternFill patternType="solid">
        <fgColor indexed="15"/>
        <bgColor indexed="64"/>
      </patternFill>
    </fill>
    <fill>
      <patternFill patternType="solid">
        <fgColor theme="9" tint="0.3999450666829432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5117038483843"/>
        <bgColor indexed="64"/>
      </patternFill>
    </fill>
    <fill>
      <patternFill patternType="solid">
        <fgColor rgb="FF00B0F0"/>
        <bgColor indexed="64"/>
      </patternFill>
    </fill>
    <fill>
      <patternFill patternType="solid">
        <fgColor rgb="FFFFC000"/>
        <bgColor indexed="64"/>
      </patternFill>
    </fill>
    <fill>
      <patternFill patternType="solid">
        <fgColor theme="4"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medium">
        <color auto="1"/>
      </left>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11">
    <xf numFmtId="0" fontId="0" fillId="0" borderId="0"/>
    <xf numFmtId="43" fontId="6" fillId="0" borderId="0" applyFont="0" applyFill="0" applyBorder="0" applyAlignment="0" applyProtection="0"/>
    <xf numFmtId="9" fontId="6"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168" fontId="5" fillId="0" borderId="0" applyFont="0" applyFill="0" applyBorder="0" applyAlignment="0" applyProtection="0"/>
    <xf numFmtId="165" fontId="6" fillId="0" borderId="0" applyFont="0" applyFill="0" applyBorder="0" applyAlignment="0" applyProtection="0"/>
    <xf numFmtId="9" fontId="5" fillId="0" borderId="0" applyFont="0" applyFill="0" applyBorder="0" applyAlignment="0" applyProtection="0"/>
    <xf numFmtId="164" fontId="3" fillId="0" borderId="0" applyFont="0" applyFill="0" applyBorder="0" applyAlignment="0" applyProtection="0"/>
    <xf numFmtId="166" fontId="6" fillId="0" borderId="0" applyFont="0" applyFill="0" applyBorder="0" applyAlignment="0" applyProtection="0"/>
    <xf numFmtId="166" fontId="5" fillId="0" borderId="0" applyFont="0" applyFill="0" applyBorder="0" applyAlignment="0" applyProtection="0"/>
  </cellStyleXfs>
  <cellXfs count="498">
    <xf numFmtId="0" fontId="0" fillId="0" borderId="0" xfId="0"/>
    <xf numFmtId="0" fontId="7" fillId="0" borderId="0" xfId="0" applyFont="1"/>
    <xf numFmtId="173" fontId="7" fillId="0" borderId="0" xfId="0" applyNumberFormat="1" applyFont="1"/>
    <xf numFmtId="0" fontId="7" fillId="0" borderId="0" xfId="0" applyFont="1" applyAlignment="1">
      <alignment horizontal="center"/>
    </xf>
    <xf numFmtId="0" fontId="8" fillId="0" borderId="0" xfId="0" applyFont="1"/>
    <xf numFmtId="0" fontId="7" fillId="2" borderId="0" xfId="0" applyFont="1" applyFill="1"/>
    <xf numFmtId="0" fontId="7" fillId="3" borderId="0" xfId="0" applyFont="1" applyFill="1"/>
    <xf numFmtId="0" fontId="9" fillId="4" borderId="1" xfId="0" applyFont="1" applyFill="1" applyBorder="1"/>
    <xf numFmtId="0" fontId="9" fillId="4" borderId="1" xfId="0" applyFont="1" applyFill="1" applyBorder="1" applyAlignment="1">
      <alignment horizontal="center"/>
    </xf>
    <xf numFmtId="0" fontId="7" fillId="0" borderId="1" xfId="0" applyFont="1" applyBorder="1"/>
    <xf numFmtId="1" fontId="7" fillId="0" borderId="1" xfId="0" applyNumberFormat="1" applyFont="1" applyBorder="1"/>
    <xf numFmtId="170" fontId="7" fillId="0" borderId="1" xfId="0" applyNumberFormat="1" applyFont="1" applyBorder="1"/>
    <xf numFmtId="0" fontId="7" fillId="3" borderId="1" xfId="0" applyFont="1" applyFill="1" applyBorder="1"/>
    <xf numFmtId="9" fontId="7" fillId="3" borderId="1" xfId="0" applyNumberFormat="1" applyFont="1" applyFill="1" applyBorder="1"/>
    <xf numFmtId="0" fontId="7" fillId="0" borderId="1" xfId="0" applyFont="1" applyFill="1" applyBorder="1"/>
    <xf numFmtId="9" fontId="7" fillId="0" borderId="1" xfId="0" applyNumberFormat="1" applyFont="1" applyFill="1" applyBorder="1"/>
    <xf numFmtId="0" fontId="8" fillId="0" borderId="1" xfId="0" applyFont="1" applyBorder="1"/>
    <xf numFmtId="167" fontId="8" fillId="2" borderId="1" xfId="1" applyNumberFormat="1" applyFont="1" applyFill="1" applyBorder="1"/>
    <xf numFmtId="167" fontId="8" fillId="0" borderId="1" xfId="1" applyNumberFormat="1" applyFont="1" applyBorder="1"/>
    <xf numFmtId="167" fontId="7" fillId="0" borderId="1" xfId="1" applyNumberFormat="1" applyFont="1" applyBorder="1"/>
    <xf numFmtId="164" fontId="7" fillId="0" borderId="1" xfId="0" applyNumberFormat="1" applyFont="1" applyBorder="1"/>
    <xf numFmtId="0" fontId="7" fillId="0" borderId="0" xfId="0" applyFont="1" applyBorder="1"/>
    <xf numFmtId="167" fontId="7" fillId="0" borderId="0" xfId="1" applyNumberFormat="1" applyFont="1" applyBorder="1"/>
    <xf numFmtId="0" fontId="7" fillId="0" borderId="0" xfId="0" applyFont="1" applyFill="1" applyBorder="1"/>
    <xf numFmtId="164" fontId="7" fillId="0" borderId="0" xfId="0" applyNumberFormat="1" applyFont="1"/>
    <xf numFmtId="0" fontId="8" fillId="0" borderId="0" xfId="0" applyFont="1" applyAlignment="1">
      <alignment horizontal="center"/>
    </xf>
    <xf numFmtId="9" fontId="8" fillId="0" borderId="0" xfId="0" applyNumberFormat="1" applyFont="1" applyAlignment="1">
      <alignment horizontal="center"/>
    </xf>
    <xf numFmtId="10" fontId="8" fillId="0" borderId="0" xfId="0" applyNumberFormat="1" applyFont="1" applyAlignment="1">
      <alignment horizontal="center"/>
    </xf>
    <xf numFmtId="0" fontId="9" fillId="5" borderId="1" xfId="0" applyFont="1" applyFill="1" applyBorder="1"/>
    <xf numFmtId="0" fontId="9" fillId="5" borderId="1" xfId="0" applyFont="1" applyFill="1" applyBorder="1" applyAlignment="1">
      <alignment horizontal="center"/>
    </xf>
    <xf numFmtId="9" fontId="7" fillId="0" borderId="1" xfId="2" applyFont="1" applyBorder="1"/>
    <xf numFmtId="0" fontId="7" fillId="2" borderId="1" xfId="0" applyFont="1" applyFill="1" applyBorder="1"/>
    <xf numFmtId="167" fontId="7" fillId="2" borderId="1" xfId="1" applyNumberFormat="1" applyFont="1" applyFill="1" applyBorder="1"/>
    <xf numFmtId="0" fontId="7" fillId="0" borderId="1" xfId="0" applyFont="1" applyBorder="1" applyAlignment="1">
      <alignment wrapText="1"/>
    </xf>
    <xf numFmtId="0" fontId="7" fillId="2" borderId="1" xfId="0" applyFont="1" applyFill="1" applyBorder="1" applyAlignment="1">
      <alignment wrapText="1"/>
    </xf>
    <xf numFmtId="167" fontId="7" fillId="0" borderId="1" xfId="1" applyNumberFormat="1" applyFont="1" applyFill="1" applyBorder="1"/>
    <xf numFmtId="0" fontId="8" fillId="0" borderId="1" xfId="0" applyFont="1" applyBorder="1" applyAlignment="1">
      <alignment wrapText="1"/>
    </xf>
    <xf numFmtId="0" fontId="8" fillId="0" borderId="1" xfId="0" applyFont="1" applyFill="1" applyBorder="1"/>
    <xf numFmtId="173" fontId="7" fillId="0" borderId="1" xfId="9" applyNumberFormat="1" applyFont="1" applyFill="1" applyBorder="1"/>
    <xf numFmtId="173" fontId="7" fillId="2" borderId="1" xfId="9" applyNumberFormat="1" applyFont="1" applyFill="1" applyBorder="1"/>
    <xf numFmtId="173" fontId="7" fillId="0" borderId="1" xfId="0" applyNumberFormat="1" applyFont="1" applyFill="1" applyBorder="1"/>
    <xf numFmtId="9" fontId="7" fillId="0" borderId="0" xfId="0" applyNumberFormat="1" applyFont="1"/>
    <xf numFmtId="167" fontId="7" fillId="0" borderId="2" xfId="1" applyNumberFormat="1" applyFont="1" applyBorder="1"/>
    <xf numFmtId="167" fontId="8" fillId="0" borderId="1" xfId="1" applyNumberFormat="1" applyFont="1" applyBorder="1" applyAlignment="1">
      <alignment wrapText="1"/>
    </xf>
    <xf numFmtId="0" fontId="9" fillId="4" borderId="1" xfId="0" applyFont="1" applyFill="1" applyBorder="1" applyAlignment="1">
      <alignment wrapText="1"/>
    </xf>
    <xf numFmtId="0" fontId="9" fillId="4" borderId="3" xfId="0" applyFont="1" applyFill="1" applyBorder="1" applyAlignment="1">
      <alignment wrapText="1"/>
    </xf>
    <xf numFmtId="0" fontId="7" fillId="0" borderId="1" xfId="0" applyFont="1" applyBorder="1" applyAlignment="1">
      <alignment horizontal="center"/>
    </xf>
    <xf numFmtId="0" fontId="7" fillId="0" borderId="0" xfId="0" applyFont="1" applyBorder="1" applyAlignment="1">
      <alignment horizontal="center"/>
    </xf>
    <xf numFmtId="10" fontId="7" fillId="0" borderId="0" xfId="0" applyNumberFormat="1" applyFont="1"/>
    <xf numFmtId="0" fontId="7" fillId="0" borderId="1" xfId="0" applyFont="1" applyFill="1" applyBorder="1" applyAlignment="1">
      <alignment wrapText="1"/>
    </xf>
    <xf numFmtId="0" fontId="8" fillId="2" borderId="1" xfId="0" applyFont="1" applyFill="1" applyBorder="1"/>
    <xf numFmtId="167" fontId="7" fillId="2" borderId="1" xfId="1" applyNumberFormat="1" applyFont="1" applyFill="1" applyBorder="1" applyAlignment="1">
      <alignment wrapText="1"/>
    </xf>
    <xf numFmtId="0" fontId="8" fillId="0" borderId="0" xfId="0" applyFont="1" applyBorder="1"/>
    <xf numFmtId="167" fontId="8" fillId="0" borderId="0" xfId="1" applyNumberFormat="1" applyFont="1" applyBorder="1"/>
    <xf numFmtId="166" fontId="7" fillId="2" borderId="0" xfId="0" applyNumberFormat="1" applyFont="1" applyFill="1" applyBorder="1"/>
    <xf numFmtId="166" fontId="7" fillId="0" borderId="0" xfId="0" applyNumberFormat="1" applyFont="1" applyBorder="1"/>
    <xf numFmtId="164" fontId="7" fillId="0" borderId="0" xfId="0" applyNumberFormat="1" applyFont="1" applyBorder="1"/>
    <xf numFmtId="1" fontId="7" fillId="0" borderId="0" xfId="0" applyNumberFormat="1" applyFont="1" applyBorder="1"/>
    <xf numFmtId="164" fontId="7" fillId="0" borderId="1" xfId="1" applyNumberFormat="1" applyFont="1" applyBorder="1"/>
    <xf numFmtId="167" fontId="7" fillId="0" borderId="4" xfId="1" applyNumberFormat="1" applyFont="1" applyBorder="1"/>
    <xf numFmtId="9" fontId="7" fillId="0" borderId="1" xfId="0" applyNumberFormat="1" applyFont="1" applyBorder="1"/>
    <xf numFmtId="164" fontId="7" fillId="0" borderId="1" xfId="0" applyNumberFormat="1" applyFont="1" applyFill="1" applyBorder="1"/>
    <xf numFmtId="173" fontId="8" fillId="0" borderId="1" xfId="9" applyNumberFormat="1" applyFont="1" applyBorder="1"/>
    <xf numFmtId="0" fontId="8" fillId="3" borderId="1" xfId="0" applyFont="1" applyFill="1" applyBorder="1"/>
    <xf numFmtId="9" fontId="8" fillId="3" borderId="1" xfId="2" applyNumberFormat="1" applyFont="1" applyFill="1" applyBorder="1"/>
    <xf numFmtId="9" fontId="8" fillId="3" borderId="1" xfId="2" applyFont="1" applyFill="1" applyBorder="1"/>
    <xf numFmtId="173" fontId="8" fillId="3" borderId="1" xfId="9" applyNumberFormat="1" applyFont="1" applyFill="1" applyBorder="1"/>
    <xf numFmtId="173" fontId="7" fillId="0" borderId="1" xfId="2" applyNumberFormat="1" applyFont="1" applyBorder="1"/>
    <xf numFmtId="0" fontId="8" fillId="0" borderId="0" xfId="0" applyFont="1" applyBorder="1" applyAlignment="1">
      <alignment horizontal="center"/>
    </xf>
    <xf numFmtId="9" fontId="8" fillId="0" borderId="0" xfId="0" applyNumberFormat="1" applyFont="1" applyBorder="1" applyAlignment="1">
      <alignment horizontal="center"/>
    </xf>
    <xf numFmtId="10" fontId="8" fillId="0" borderId="0" xfId="0" applyNumberFormat="1" applyFont="1" applyBorder="1" applyAlignment="1">
      <alignment horizontal="center"/>
    </xf>
    <xf numFmtId="173" fontId="7" fillId="0" borderId="1" xfId="0" applyNumberFormat="1" applyFont="1" applyBorder="1"/>
    <xf numFmtId="171" fontId="8" fillId="2" borderId="1" xfId="0" applyNumberFormat="1" applyFont="1" applyFill="1" applyBorder="1"/>
    <xf numFmtId="173" fontId="8" fillId="0" borderId="1" xfId="0" applyNumberFormat="1" applyFont="1" applyBorder="1"/>
    <xf numFmtId="167" fontId="7" fillId="0" borderId="1" xfId="0" applyNumberFormat="1" applyFont="1" applyBorder="1"/>
    <xf numFmtId="2" fontId="7" fillId="0" borderId="1" xfId="0" applyNumberFormat="1" applyFont="1" applyBorder="1"/>
    <xf numFmtId="0" fontId="9" fillId="0" borderId="0" xfId="0" applyFont="1" applyFill="1" applyBorder="1" applyAlignment="1">
      <alignment horizontal="center"/>
    </xf>
    <xf numFmtId="0" fontId="7" fillId="0" borderId="0" xfId="0" applyNumberFormat="1" applyFont="1" applyFill="1" applyBorder="1"/>
    <xf numFmtId="1" fontId="7" fillId="0" borderId="0" xfId="0" applyNumberFormat="1" applyFont="1" applyFill="1" applyBorder="1"/>
    <xf numFmtId="0" fontId="8" fillId="0" borderId="0" xfId="0" applyFont="1" applyFill="1" applyBorder="1"/>
    <xf numFmtId="167" fontId="8" fillId="0" borderId="0" xfId="1" applyNumberFormat="1" applyFont="1" applyFill="1" applyBorder="1"/>
    <xf numFmtId="0" fontId="8" fillId="0" borderId="0" xfId="0" applyFont="1" applyAlignment="1"/>
    <xf numFmtId="9" fontId="7" fillId="0" borderId="0" xfId="2" applyFont="1"/>
    <xf numFmtId="174" fontId="7" fillId="0" borderId="0" xfId="0" applyNumberFormat="1" applyFont="1"/>
    <xf numFmtId="0" fontId="8" fillId="0" borderId="9" xfId="0" applyFont="1" applyFill="1" applyBorder="1" applyAlignment="1">
      <alignment wrapText="1"/>
    </xf>
    <xf numFmtId="9" fontId="7" fillId="2" borderId="1" xfId="2" applyFont="1" applyFill="1" applyBorder="1"/>
    <xf numFmtId="9" fontId="7" fillId="2" borderId="1" xfId="0" applyNumberFormat="1" applyFont="1" applyFill="1" applyBorder="1"/>
    <xf numFmtId="9" fontId="7" fillId="2" borderId="1" xfId="2" applyNumberFormat="1" applyFont="1" applyFill="1" applyBorder="1"/>
    <xf numFmtId="0" fontId="7" fillId="0" borderId="6" xfId="0" applyFont="1" applyBorder="1" applyAlignment="1">
      <alignment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9" fontId="9" fillId="3" borderId="1" xfId="0" applyNumberFormat="1" applyFont="1" applyFill="1" applyBorder="1"/>
    <xf numFmtId="9" fontId="9" fillId="3" borderId="1" xfId="0" applyNumberFormat="1" applyFont="1" applyFill="1" applyBorder="1" applyAlignment="1">
      <alignment horizontal="center"/>
    </xf>
    <xf numFmtId="0" fontId="7" fillId="0" borderId="0" xfId="0" applyFont="1" applyFill="1"/>
    <xf numFmtId="9" fontId="10" fillId="3" borderId="1" xfId="0" applyNumberFormat="1" applyFont="1" applyFill="1" applyBorder="1"/>
    <xf numFmtId="174" fontId="10" fillId="3" borderId="1" xfId="0" applyNumberFormat="1" applyFont="1" applyFill="1" applyBorder="1"/>
    <xf numFmtId="170" fontId="7" fillId="3" borderId="1" xfId="0" applyNumberFormat="1" applyFont="1" applyFill="1" applyBorder="1"/>
    <xf numFmtId="0" fontId="7" fillId="0" borderId="7" xfId="0" applyFont="1" applyBorder="1" applyAlignment="1">
      <alignment horizontal="center" vertical="center"/>
    </xf>
    <xf numFmtId="0" fontId="7" fillId="0" borderId="1" xfId="2" applyNumberFormat="1" applyFont="1" applyFill="1" applyBorder="1"/>
    <xf numFmtId="0" fontId="7" fillId="0" borderId="1" xfId="0" applyNumberFormat="1" applyFont="1" applyBorder="1"/>
    <xf numFmtId="171" fontId="7" fillId="0" borderId="1" xfId="0" applyNumberFormat="1" applyFont="1" applyFill="1" applyBorder="1"/>
    <xf numFmtId="0" fontId="16" fillId="5" borderId="1"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7" fillId="0" borderId="1" xfId="0" applyFont="1" applyBorder="1" applyAlignment="1">
      <alignment horizontal="right" vertical="center" wrapText="1"/>
    </xf>
    <xf numFmtId="0" fontId="17" fillId="0" borderId="1" xfId="0" applyFont="1" applyBorder="1" applyAlignment="1">
      <alignment vertical="center" wrapText="1"/>
    </xf>
    <xf numFmtId="167" fontId="17" fillId="0" borderId="1" xfId="1" applyNumberFormat="1" applyFont="1" applyBorder="1" applyAlignment="1">
      <alignment vertical="center" wrapText="1"/>
    </xf>
    <xf numFmtId="167" fontId="18" fillId="0" borderId="1" xfId="1" applyNumberFormat="1" applyFont="1" applyBorder="1" applyAlignment="1">
      <alignment horizontal="center" vertical="center" wrapText="1"/>
    </xf>
    <xf numFmtId="0" fontId="16" fillId="5" borderId="1" xfId="0" applyFont="1" applyFill="1" applyBorder="1" applyAlignment="1">
      <alignment vertical="center" wrapText="1"/>
    </xf>
    <xf numFmtId="9" fontId="17" fillId="0" borderId="1" xfId="9" applyNumberFormat="1" applyFont="1" applyFill="1" applyBorder="1" applyAlignment="1">
      <alignment horizontal="right" vertical="center" wrapText="1"/>
    </xf>
    <xf numFmtId="173" fontId="17" fillId="0" borderId="1" xfId="9" applyNumberFormat="1" applyFont="1" applyFill="1" applyBorder="1" applyAlignment="1">
      <alignment horizontal="right" vertical="center" wrapText="1"/>
    </xf>
    <xf numFmtId="9" fontId="17" fillId="3" borderId="1" xfId="9" applyNumberFormat="1" applyFont="1" applyFill="1" applyBorder="1" applyAlignment="1">
      <alignment horizontal="right" vertical="center" wrapText="1"/>
    </xf>
    <xf numFmtId="173" fontId="18" fillId="0" borderId="1" xfId="9" applyNumberFormat="1" applyFont="1" applyBorder="1" applyAlignment="1">
      <alignment horizontal="right" vertical="center" wrapText="1"/>
    </xf>
    <xf numFmtId="0" fontId="16" fillId="4" borderId="1" xfId="0" applyFont="1" applyFill="1" applyBorder="1" applyAlignment="1">
      <alignment vertical="center" wrapText="1"/>
    </xf>
    <xf numFmtId="0" fontId="16" fillId="4" borderId="1" xfId="0" applyFont="1" applyFill="1" applyBorder="1" applyAlignment="1">
      <alignment vertical="center"/>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7" fillId="0" borderId="1" xfId="0" applyFont="1" applyBorder="1" applyAlignment="1">
      <alignment horizontal="center" vertical="center" wrapText="1"/>
    </xf>
    <xf numFmtId="10" fontId="17" fillId="0" borderId="1" xfId="0" applyNumberFormat="1" applyFont="1" applyBorder="1" applyAlignment="1">
      <alignment horizontal="center" vertical="center" wrapText="1"/>
    </xf>
    <xf numFmtId="0" fontId="17" fillId="0" borderId="1" xfId="0" applyFont="1" applyFill="1" applyBorder="1" applyAlignment="1">
      <alignment horizontal="left" vertical="center" wrapText="1"/>
    </xf>
    <xf numFmtId="10" fontId="17" fillId="0" borderId="1" xfId="2"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0" fontId="14" fillId="0" borderId="19" xfId="0" applyFont="1" applyBorder="1" applyAlignment="1">
      <alignment vertical="center" wrapText="1"/>
    </xf>
    <xf numFmtId="0" fontId="14" fillId="0" borderId="18" xfId="0" applyFont="1" applyBorder="1" applyAlignment="1">
      <alignment horizontal="center" vertical="center" wrapText="1"/>
    </xf>
    <xf numFmtId="0" fontId="14" fillId="0" borderId="19" xfId="0" applyFont="1" applyFill="1" applyBorder="1" applyAlignment="1">
      <alignment vertical="center" wrapText="1"/>
    </xf>
    <xf numFmtId="0" fontId="2" fillId="0" borderId="18" xfId="0" applyFont="1" applyBorder="1" applyAlignment="1">
      <alignment horizontal="center" vertical="center" wrapText="1"/>
    </xf>
    <xf numFmtId="0" fontId="14" fillId="3" borderId="19" xfId="0" applyFont="1" applyFill="1" applyBorder="1" applyAlignment="1">
      <alignment vertical="center" wrapText="1"/>
    </xf>
    <xf numFmtId="0" fontId="14" fillId="12" borderId="19" xfId="0" applyFont="1" applyFill="1" applyBorder="1" applyAlignment="1">
      <alignment vertical="center" wrapText="1"/>
    </xf>
    <xf numFmtId="0" fontId="14" fillId="2" borderId="19" xfId="0" applyFont="1" applyFill="1" applyBorder="1" applyAlignment="1">
      <alignment vertical="center" wrapText="1"/>
    </xf>
    <xf numFmtId="0" fontId="14" fillId="14" borderId="19" xfId="0" applyFont="1" applyFill="1" applyBorder="1" applyAlignment="1">
      <alignment vertical="center" wrapText="1"/>
    </xf>
    <xf numFmtId="0" fontId="14" fillId="13" borderId="19" xfId="0" applyFont="1" applyFill="1" applyBorder="1" applyAlignment="1">
      <alignment vertical="center" wrapText="1"/>
    </xf>
    <xf numFmtId="0" fontId="14" fillId="0" borderId="7" xfId="0" applyFont="1" applyBorder="1" applyAlignment="1">
      <alignment horizontal="center" vertical="center"/>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vertical="center" wrapText="1"/>
    </xf>
    <xf numFmtId="10" fontId="14" fillId="0" borderId="1" xfId="0" applyNumberFormat="1" applyFont="1" applyBorder="1" applyAlignment="1">
      <alignment horizontal="center" vertical="center"/>
    </xf>
    <xf numFmtId="0" fontId="19" fillId="0" borderId="1" xfId="0" applyFont="1" applyFill="1" applyBorder="1" applyAlignment="1">
      <alignment horizontal="center" vertical="center"/>
    </xf>
    <xf numFmtId="0" fontId="2" fillId="0" borderId="1" xfId="0" applyFont="1" applyBorder="1" applyAlignment="1">
      <alignment horizontal="center" vertical="center"/>
    </xf>
    <xf numFmtId="167" fontId="2" fillId="0" borderId="1" xfId="0" applyNumberFormat="1" applyFont="1" applyBorder="1" applyAlignment="1">
      <alignment horizontal="center" vertical="center"/>
    </xf>
    <xf numFmtId="0" fontId="14" fillId="0" borderId="1" xfId="0" applyFont="1" applyBorder="1" applyAlignment="1">
      <alignment horizontal="center" vertical="center"/>
    </xf>
    <xf numFmtId="0" fontId="21" fillId="0" borderId="1" xfId="0" applyFont="1" applyFill="1" applyBorder="1" applyAlignment="1">
      <alignment vertical="center" wrapText="1"/>
    </xf>
    <xf numFmtId="0" fontId="22" fillId="0" borderId="0" xfId="0" applyFont="1" applyBorder="1" applyAlignment="1">
      <alignment vertical="center"/>
    </xf>
    <xf numFmtId="0" fontId="26" fillId="0" borderId="0" xfId="0" applyFont="1" applyBorder="1" applyAlignment="1">
      <alignment vertical="center"/>
    </xf>
    <xf numFmtId="0" fontId="19" fillId="0" borderId="0" xfId="0" applyFont="1" applyBorder="1" applyAlignment="1">
      <alignment vertical="center"/>
    </xf>
    <xf numFmtId="0" fontId="12" fillId="5" borderId="12" xfId="0" applyFont="1" applyFill="1" applyBorder="1" applyAlignment="1">
      <alignment vertical="center"/>
    </xf>
    <xf numFmtId="0" fontId="22" fillId="0" borderId="13" xfId="0" applyFont="1" applyFill="1" applyBorder="1" applyAlignment="1">
      <alignment vertical="center"/>
    </xf>
    <xf numFmtId="37" fontId="19" fillId="0" borderId="1" xfId="9" applyNumberFormat="1" applyFont="1" applyFill="1" applyBorder="1" applyAlignment="1">
      <alignment vertical="center"/>
    </xf>
    <xf numFmtId="3" fontId="27" fillId="0" borderId="1" xfId="6" applyNumberFormat="1" applyFont="1" applyFill="1" applyBorder="1" applyAlignment="1">
      <alignment horizontal="right" vertical="center"/>
    </xf>
    <xf numFmtId="0" fontId="22" fillId="0" borderId="0" xfId="0" applyFont="1" applyFill="1" applyBorder="1" applyAlignment="1">
      <alignment vertical="center"/>
    </xf>
    <xf numFmtId="0" fontId="28" fillId="0" borderId="13" xfId="0" applyFont="1" applyFill="1" applyBorder="1" applyAlignment="1">
      <alignment vertical="center"/>
    </xf>
    <xf numFmtId="4" fontId="22" fillId="0" borderId="1" xfId="9" applyNumberFormat="1" applyFont="1" applyFill="1" applyBorder="1" applyAlignment="1">
      <alignment vertical="center"/>
    </xf>
    <xf numFmtId="0" fontId="19" fillId="0" borderId="13" xfId="0" applyFont="1" applyFill="1" applyBorder="1" applyAlignment="1">
      <alignment horizontal="left" vertical="center"/>
    </xf>
    <xf numFmtId="4" fontId="29" fillId="0" borderId="1" xfId="9" applyNumberFormat="1" applyFont="1" applyFill="1" applyBorder="1" applyAlignment="1">
      <alignment vertical="center"/>
    </xf>
    <xf numFmtId="3" fontId="19" fillId="0" borderId="1" xfId="9" applyNumberFormat="1" applyFont="1" applyFill="1" applyBorder="1" applyAlignment="1">
      <alignment vertical="center"/>
    </xf>
    <xf numFmtId="3" fontId="22" fillId="0" borderId="0" xfId="0" applyNumberFormat="1" applyFont="1" applyBorder="1" applyAlignment="1">
      <alignment vertical="center"/>
    </xf>
    <xf numFmtId="3" fontId="22" fillId="0" borderId="1" xfId="9" applyNumberFormat="1" applyFont="1" applyFill="1" applyBorder="1" applyAlignment="1">
      <alignment vertical="center"/>
    </xf>
    <xf numFmtId="0" fontId="22" fillId="0" borderId="13" xfId="0" applyFont="1" applyFill="1" applyBorder="1" applyAlignment="1">
      <alignment horizontal="left" vertical="center"/>
    </xf>
    <xf numFmtId="0" fontId="19" fillId="0" borderId="13" xfId="0" applyFont="1" applyFill="1" applyBorder="1" applyAlignment="1">
      <alignment vertical="center"/>
    </xf>
    <xf numFmtId="3" fontId="19" fillId="0" borderId="1" xfId="6" applyNumberFormat="1" applyFont="1" applyFill="1" applyBorder="1" applyAlignment="1">
      <alignment vertical="center"/>
    </xf>
    <xf numFmtId="3" fontId="22" fillId="0" borderId="1" xfId="6" applyNumberFormat="1" applyFont="1" applyFill="1" applyBorder="1" applyAlignment="1">
      <alignment vertical="center"/>
    </xf>
    <xf numFmtId="3" fontId="29" fillId="0" borderId="1" xfId="9" applyNumberFormat="1" applyFont="1" applyFill="1" applyBorder="1" applyAlignment="1">
      <alignment vertical="center"/>
    </xf>
    <xf numFmtId="3" fontId="27" fillId="0" borderId="1" xfId="9" applyNumberFormat="1" applyFont="1" applyFill="1" applyBorder="1" applyAlignment="1">
      <alignment vertical="center"/>
    </xf>
    <xf numFmtId="3" fontId="22" fillId="0" borderId="1" xfId="0" applyNumberFormat="1" applyFont="1" applyFill="1" applyBorder="1" applyAlignment="1">
      <alignment vertical="center"/>
    </xf>
    <xf numFmtId="0" fontId="20" fillId="0" borderId="13" xfId="0" applyFont="1" applyFill="1" applyBorder="1" applyAlignment="1">
      <alignment vertical="center"/>
    </xf>
    <xf numFmtId="3" fontId="20" fillId="0" borderId="1" xfId="9" applyNumberFormat="1" applyFont="1" applyFill="1" applyBorder="1" applyAlignment="1">
      <alignment vertical="center"/>
    </xf>
    <xf numFmtId="4" fontId="22" fillId="0" borderId="1" xfId="0" applyNumberFormat="1" applyFont="1" applyFill="1" applyBorder="1" applyAlignment="1">
      <alignment vertical="center"/>
    </xf>
    <xf numFmtId="0" fontId="30" fillId="0" borderId="13" xfId="0" applyFont="1" applyFill="1" applyBorder="1" applyAlignment="1">
      <alignment vertical="center"/>
    </xf>
    <xf numFmtId="4" fontId="31" fillId="0" borderId="1" xfId="0" applyNumberFormat="1" applyFont="1" applyFill="1" applyBorder="1" applyAlignment="1">
      <alignment vertical="center"/>
    </xf>
    <xf numFmtId="0" fontId="32" fillId="0" borderId="13" xfId="0" applyFont="1" applyFill="1" applyBorder="1" applyAlignment="1">
      <alignment vertical="center"/>
    </xf>
    <xf numFmtId="4" fontId="32" fillId="0" borderId="1" xfId="6" applyNumberFormat="1" applyFont="1" applyFill="1" applyBorder="1" applyAlignment="1">
      <alignment vertical="center"/>
    </xf>
    <xf numFmtId="0" fontId="32" fillId="0" borderId="14" xfId="0" applyFont="1" applyFill="1" applyBorder="1" applyAlignment="1">
      <alignment vertical="center"/>
    </xf>
    <xf numFmtId="4" fontId="32" fillId="0" borderId="15" xfId="0" applyNumberFormat="1" applyFont="1" applyFill="1" applyBorder="1" applyAlignment="1">
      <alignment vertical="center"/>
    </xf>
    <xf numFmtId="4" fontId="22" fillId="0" borderId="0" xfId="0" applyNumberFormat="1" applyFont="1" applyBorder="1" applyAlignment="1">
      <alignmen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167" fontId="22" fillId="0" borderId="1" xfId="1"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Fill="1" applyBorder="1" applyAlignment="1">
      <alignment vertical="center" wrapText="1"/>
    </xf>
    <xf numFmtId="0" fontId="18" fillId="2" borderId="1" xfId="0" applyFont="1" applyFill="1" applyBorder="1" applyAlignment="1">
      <alignment horizontal="center" vertical="center" wrapText="1"/>
    </xf>
    <xf numFmtId="167" fontId="17" fillId="0" borderId="1" xfId="1" applyNumberFormat="1" applyFont="1" applyFill="1" applyBorder="1" applyAlignment="1">
      <alignment horizontal="right" vertical="center" wrapText="1"/>
    </xf>
    <xf numFmtId="0" fontId="17" fillId="0" borderId="1" xfId="0" applyFont="1" applyFill="1" applyBorder="1" applyAlignment="1">
      <alignment vertical="center" wrapText="1"/>
    </xf>
    <xf numFmtId="0" fontId="18" fillId="2" borderId="2" xfId="0" applyFont="1" applyFill="1" applyBorder="1" applyAlignment="1">
      <alignment horizontal="center" vertical="center" wrapText="1"/>
    </xf>
    <xf numFmtId="167" fontId="18" fillId="0" borderId="1" xfId="1" applyNumberFormat="1" applyFont="1" applyFill="1" applyBorder="1" applyAlignment="1">
      <alignment horizontal="right" vertical="center" wrapText="1"/>
    </xf>
    <xf numFmtId="9" fontId="18" fillId="3" borderId="1" xfId="0" applyNumberFormat="1" applyFont="1" applyFill="1" applyBorder="1" applyAlignment="1">
      <alignment horizontal="center" vertical="center" wrapText="1"/>
    </xf>
    <xf numFmtId="0" fontId="12" fillId="4" borderId="1" xfId="0" applyFont="1" applyFill="1" applyBorder="1" applyAlignment="1">
      <alignment vertical="center"/>
    </xf>
    <xf numFmtId="0" fontId="12" fillId="4" borderId="1" xfId="0" applyFont="1" applyFill="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178" fontId="22" fillId="0" borderId="1" xfId="6" applyNumberFormat="1" applyFont="1" applyFill="1" applyBorder="1" applyAlignment="1">
      <alignment vertical="center"/>
    </xf>
    <xf numFmtId="169" fontId="19" fillId="0" borderId="0" xfId="6" applyNumberFormat="1" applyFont="1" applyFill="1" applyBorder="1" applyAlignment="1">
      <alignment vertical="center"/>
    </xf>
    <xf numFmtId="178" fontId="19" fillId="0" borderId="1" xfId="6" applyNumberFormat="1" applyFont="1" applyFill="1" applyBorder="1" applyAlignment="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166" fontId="22" fillId="0" borderId="1" xfId="9" applyFont="1" applyFill="1" applyBorder="1" applyAlignment="1">
      <alignment horizontal="right" vertical="center" wrapText="1"/>
    </xf>
    <xf numFmtId="167" fontId="22" fillId="0" borderId="1" xfId="1" applyNumberFormat="1" applyFont="1" applyFill="1" applyBorder="1" applyAlignment="1">
      <alignment horizontal="left" vertical="center" wrapText="1"/>
    </xf>
    <xf numFmtId="167" fontId="22" fillId="0" borderId="1" xfId="1" applyNumberFormat="1" applyFont="1" applyFill="1" applyBorder="1" applyAlignment="1">
      <alignment vertical="center" wrapText="1"/>
    </xf>
    <xf numFmtId="167" fontId="22" fillId="0" borderId="1" xfId="1" applyNumberFormat="1" applyFont="1" applyFill="1" applyBorder="1" applyAlignment="1">
      <alignment horizontal="right" vertical="center" wrapText="1"/>
    </xf>
    <xf numFmtId="0" fontId="2" fillId="0" borderId="1" xfId="0" applyFont="1" applyFill="1" applyBorder="1" applyAlignment="1">
      <alignment vertical="center" wrapText="1"/>
    </xf>
    <xf numFmtId="173" fontId="14" fillId="0" borderId="1" xfId="9" applyNumberFormat="1" applyFont="1" applyFill="1" applyBorder="1" applyAlignment="1">
      <alignment horizontal="righ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73" fontId="18" fillId="0" borderId="1" xfId="9" applyNumberFormat="1" applyFont="1" applyFill="1" applyBorder="1" applyAlignment="1">
      <alignment horizontal="right" vertical="center" wrapText="1"/>
    </xf>
    <xf numFmtId="173" fontId="17" fillId="0" borderId="1" xfId="9"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173" fontId="17" fillId="2" borderId="1" xfId="9" applyNumberFormat="1" applyFont="1" applyFill="1" applyBorder="1" applyAlignment="1">
      <alignment horizontal="center" vertical="center" wrapText="1"/>
    </xf>
    <xf numFmtId="173" fontId="17" fillId="2" borderId="1" xfId="9" applyNumberFormat="1" applyFont="1" applyFill="1" applyBorder="1" applyAlignment="1">
      <alignment horizontal="right" vertical="center" wrapText="1"/>
    </xf>
    <xf numFmtId="0" fontId="17" fillId="0" borderId="1" xfId="0" applyFont="1" applyFill="1" applyBorder="1" applyAlignment="1">
      <alignment horizontal="right" vertical="center" wrapText="1"/>
    </xf>
    <xf numFmtId="0" fontId="2" fillId="0" borderId="0" xfId="0" applyFont="1" applyAlignment="1">
      <alignment vertical="center" wrapText="1"/>
    </xf>
    <xf numFmtId="0" fontId="2" fillId="2" borderId="2" xfId="0" applyFont="1" applyFill="1" applyBorder="1" applyAlignment="1">
      <alignment vertical="center" wrapText="1"/>
    </xf>
    <xf numFmtId="0" fontId="2" fillId="3" borderId="2" xfId="0" applyFont="1" applyFill="1" applyBorder="1" applyAlignment="1">
      <alignment vertical="center" wrapText="1"/>
    </xf>
    <xf numFmtId="0" fontId="2" fillId="0" borderId="0" xfId="0" applyFont="1" applyFill="1" applyAlignment="1">
      <alignment vertical="center" wrapText="1"/>
    </xf>
    <xf numFmtId="0" fontId="14" fillId="0" borderId="1" xfId="0" applyFont="1" applyBorder="1" applyAlignment="1">
      <alignment vertical="center" wrapText="1"/>
    </xf>
    <xf numFmtId="0" fontId="14" fillId="11" borderId="1" xfId="0" applyFont="1" applyFill="1" applyBorder="1" applyAlignment="1">
      <alignment vertical="center" wrapText="1"/>
    </xf>
    <xf numFmtId="0" fontId="42" fillId="0" borderId="1" xfId="0" applyFont="1" applyBorder="1" applyAlignment="1">
      <alignment vertical="center" wrapText="1"/>
    </xf>
    <xf numFmtId="0" fontId="2" fillId="0" borderId="1" xfId="0" applyFont="1" applyBorder="1" applyAlignment="1">
      <alignment vertical="center" wrapText="1"/>
    </xf>
    <xf numFmtId="0" fontId="2" fillId="0" borderId="3" xfId="0" applyFont="1" applyFill="1" applyBorder="1" applyAlignment="1">
      <alignment vertical="center" wrapText="1"/>
    </xf>
    <xf numFmtId="0" fontId="14" fillId="11" borderId="3" xfId="0" applyFont="1" applyFill="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9" fontId="2" fillId="3" borderId="1" xfId="0" applyNumberFormat="1" applyFont="1" applyFill="1" applyBorder="1" applyAlignment="1">
      <alignment vertical="center"/>
    </xf>
    <xf numFmtId="167" fontId="2" fillId="0" borderId="1" xfId="0" applyNumberFormat="1" applyFont="1" applyBorder="1" applyAlignment="1">
      <alignment vertical="center"/>
    </xf>
    <xf numFmtId="0" fontId="2" fillId="0" borderId="1" xfId="0" applyFont="1" applyBorder="1" applyAlignment="1">
      <alignment vertical="center"/>
    </xf>
    <xf numFmtId="173" fontId="2" fillId="0" borderId="0" xfId="0" applyNumberFormat="1" applyFont="1" applyAlignment="1">
      <alignment vertical="center"/>
    </xf>
    <xf numFmtId="0" fontId="2" fillId="0" borderId="0" xfId="0" applyFont="1" applyAlignment="1">
      <alignment horizontal="center" vertical="center"/>
    </xf>
    <xf numFmtId="0" fontId="14" fillId="0" borderId="0" xfId="0" applyFont="1" applyAlignment="1">
      <alignment vertical="center"/>
    </xf>
    <xf numFmtId="0" fontId="2" fillId="2" borderId="0" xfId="0" applyFont="1" applyFill="1" applyAlignment="1">
      <alignment vertical="center"/>
    </xf>
    <xf numFmtId="0" fontId="2" fillId="3" borderId="0" xfId="0" applyFont="1" applyFill="1" applyAlignment="1">
      <alignment vertical="center"/>
    </xf>
    <xf numFmtId="1" fontId="2" fillId="0" borderId="1" xfId="0" applyNumberFormat="1" applyFont="1" applyBorder="1" applyAlignment="1">
      <alignment vertical="center"/>
    </xf>
    <xf numFmtId="167" fontId="2" fillId="0" borderId="1" xfId="1" applyNumberFormat="1" applyFont="1" applyBorder="1" applyAlignment="1">
      <alignment vertical="center"/>
    </xf>
    <xf numFmtId="0" fontId="2" fillId="3" borderId="1" xfId="0" applyFont="1" applyFill="1" applyBorder="1" applyAlignment="1">
      <alignment vertical="center"/>
    </xf>
    <xf numFmtId="0" fontId="2" fillId="0" borderId="1" xfId="0" applyFont="1" applyFill="1" applyBorder="1" applyAlignment="1">
      <alignment vertical="center"/>
    </xf>
    <xf numFmtId="9" fontId="2" fillId="0" borderId="1" xfId="0" applyNumberFormat="1" applyFont="1" applyFill="1" applyBorder="1" applyAlignment="1">
      <alignment vertical="center"/>
    </xf>
    <xf numFmtId="0" fontId="14" fillId="0" borderId="1" xfId="0" applyFont="1" applyBorder="1" applyAlignment="1">
      <alignment vertical="center"/>
    </xf>
    <xf numFmtId="167" fontId="14" fillId="2" borderId="1" xfId="1" applyNumberFormat="1" applyFont="1" applyFill="1" applyBorder="1" applyAlignment="1">
      <alignment vertical="center"/>
    </xf>
    <xf numFmtId="167" fontId="14" fillId="0" borderId="1" xfId="1" applyNumberFormat="1" applyFont="1" applyBorder="1" applyAlignment="1">
      <alignment vertical="center"/>
    </xf>
    <xf numFmtId="0" fontId="2" fillId="0" borderId="0" xfId="0" applyFont="1" applyBorder="1" applyAlignment="1">
      <alignment vertical="center"/>
    </xf>
    <xf numFmtId="167" fontId="2" fillId="0" borderId="0" xfId="1" applyNumberFormat="1" applyFont="1" applyBorder="1" applyAlignment="1">
      <alignment vertical="center"/>
    </xf>
    <xf numFmtId="0" fontId="2" fillId="0" borderId="0" xfId="0" applyFont="1" applyFill="1" applyBorder="1" applyAlignment="1">
      <alignment vertical="center"/>
    </xf>
    <xf numFmtId="167" fontId="2" fillId="0" borderId="0" xfId="0" applyNumberFormat="1" applyFont="1" applyAlignment="1">
      <alignment vertical="center"/>
    </xf>
    <xf numFmtId="171" fontId="2" fillId="0" borderId="0" xfId="0" applyNumberFormat="1" applyFont="1" applyAlignment="1">
      <alignment vertical="center"/>
    </xf>
    <xf numFmtId="164" fontId="2" fillId="0" borderId="0" xfId="0" applyNumberFormat="1" applyFont="1" applyAlignment="1">
      <alignment vertical="center"/>
    </xf>
    <xf numFmtId="0" fontId="14" fillId="0" borderId="0" xfId="0" applyFont="1" applyAlignment="1">
      <alignment horizontal="center" vertical="center"/>
    </xf>
    <xf numFmtId="9" fontId="14" fillId="0" borderId="0" xfId="0" applyNumberFormat="1" applyFont="1" applyAlignment="1">
      <alignment horizontal="center" vertical="center"/>
    </xf>
    <xf numFmtId="10" fontId="14" fillId="0" borderId="0" xfId="0" applyNumberFormat="1" applyFont="1" applyAlignment="1">
      <alignment horizontal="center" vertical="center"/>
    </xf>
    <xf numFmtId="0" fontId="12" fillId="5" borderId="1" xfId="0" applyFont="1" applyFill="1" applyBorder="1" applyAlignment="1">
      <alignment vertical="center"/>
    </xf>
    <xf numFmtId="0" fontId="12" fillId="5" borderId="1" xfId="0" applyFont="1" applyFill="1" applyBorder="1" applyAlignment="1">
      <alignment horizontal="center" vertical="center"/>
    </xf>
    <xf numFmtId="9" fontId="2" fillId="0" borderId="1" xfId="2" applyFont="1" applyBorder="1" applyAlignment="1">
      <alignment vertical="center"/>
    </xf>
    <xf numFmtId="0" fontId="2" fillId="2" borderId="1" xfId="0" applyFont="1" applyFill="1" applyBorder="1" applyAlignment="1">
      <alignment vertical="center"/>
    </xf>
    <xf numFmtId="167" fontId="2" fillId="2" borderId="1" xfId="1" applyNumberFormat="1" applyFont="1" applyFill="1" applyBorder="1" applyAlignment="1">
      <alignment vertical="center"/>
    </xf>
    <xf numFmtId="0" fontId="2" fillId="2" borderId="1" xfId="0" applyFont="1" applyFill="1" applyBorder="1" applyAlignment="1">
      <alignment vertical="center" wrapText="1"/>
    </xf>
    <xf numFmtId="167" fontId="2" fillId="0" borderId="1" xfId="1" applyNumberFormat="1" applyFont="1" applyFill="1" applyBorder="1" applyAlignment="1">
      <alignment vertical="center"/>
    </xf>
    <xf numFmtId="43" fontId="2" fillId="0" borderId="0" xfId="1" applyFont="1" applyAlignment="1">
      <alignment vertical="center"/>
    </xf>
    <xf numFmtId="9" fontId="2" fillId="0" borderId="0" xfId="0" applyNumberFormat="1" applyFont="1" applyAlignment="1">
      <alignment vertical="center"/>
    </xf>
    <xf numFmtId="0" fontId="12" fillId="0" borderId="0" xfId="0" applyFont="1" applyFill="1" applyBorder="1" applyAlignment="1">
      <alignment horizontal="center" vertical="center"/>
    </xf>
    <xf numFmtId="167" fontId="2" fillId="2" borderId="1" xfId="0" applyNumberFormat="1" applyFont="1" applyFill="1" applyBorder="1" applyAlignment="1">
      <alignment vertical="center"/>
    </xf>
    <xf numFmtId="0" fontId="2" fillId="0" borderId="0" xfId="0" applyNumberFormat="1" applyFont="1" applyFill="1" applyBorder="1" applyAlignment="1">
      <alignment vertical="center"/>
    </xf>
    <xf numFmtId="1" fontId="2" fillId="0" borderId="0" xfId="0" applyNumberFormat="1" applyFont="1" applyFill="1" applyBorder="1" applyAlignment="1">
      <alignment vertical="center"/>
    </xf>
    <xf numFmtId="167" fontId="14" fillId="0" borderId="1" xfId="0" applyNumberFormat="1" applyFont="1" applyFill="1" applyBorder="1" applyAlignment="1">
      <alignment vertical="center"/>
    </xf>
    <xf numFmtId="0" fontId="14" fillId="0" borderId="0" xfId="0" applyFont="1" applyFill="1" applyBorder="1" applyAlignment="1">
      <alignment vertical="center"/>
    </xf>
    <xf numFmtId="167" fontId="14" fillId="0" borderId="0" xfId="1" applyNumberFormat="1" applyFont="1" applyFill="1" applyBorder="1" applyAlignment="1">
      <alignment vertical="center"/>
    </xf>
    <xf numFmtId="167" fontId="14" fillId="2" borderId="1" xfId="0" applyNumberFormat="1" applyFont="1" applyFill="1" applyBorder="1" applyAlignment="1">
      <alignment vertical="center"/>
    </xf>
    <xf numFmtId="9" fontId="2" fillId="0" borderId="0" xfId="2" applyFont="1" applyAlignment="1">
      <alignment vertical="center"/>
    </xf>
    <xf numFmtId="174" fontId="2" fillId="0" borderId="0" xfId="0" applyNumberFormat="1" applyFont="1" applyAlignment="1">
      <alignment vertical="center"/>
    </xf>
    <xf numFmtId="10" fontId="2" fillId="0" borderId="0" xfId="0" applyNumberFormat="1" applyFont="1" applyAlignment="1">
      <alignment vertical="center"/>
    </xf>
    <xf numFmtId="0" fontId="12" fillId="4" borderId="1" xfId="0" applyFont="1" applyFill="1" applyBorder="1" applyAlignment="1">
      <alignment vertical="center" wrapText="1"/>
    </xf>
    <xf numFmtId="0" fontId="14" fillId="0" borderId="9" xfId="0" applyFont="1" applyFill="1" applyBorder="1" applyAlignment="1">
      <alignment vertical="center" wrapText="1"/>
    </xf>
    <xf numFmtId="9" fontId="2" fillId="2" borderId="1" xfId="2" applyFont="1" applyFill="1" applyBorder="1" applyAlignment="1">
      <alignment vertical="center"/>
    </xf>
    <xf numFmtId="167" fontId="2" fillId="3" borderId="1" xfId="0" applyNumberFormat="1" applyFont="1" applyFill="1" applyBorder="1" applyAlignment="1">
      <alignment vertical="center"/>
    </xf>
    <xf numFmtId="9" fontId="2" fillId="2" borderId="1" xfId="0" applyNumberFormat="1" applyFont="1" applyFill="1" applyBorder="1" applyAlignment="1">
      <alignment vertical="center"/>
    </xf>
    <xf numFmtId="0" fontId="2" fillId="2" borderId="1" xfId="2" applyNumberFormat="1" applyFont="1" applyFill="1" applyBorder="1" applyAlignment="1">
      <alignment vertical="center"/>
    </xf>
    <xf numFmtId="9" fontId="2" fillId="2" borderId="1" xfId="2" applyNumberFormat="1" applyFont="1" applyFill="1" applyBorder="1" applyAlignment="1">
      <alignment vertical="center"/>
    </xf>
    <xf numFmtId="9" fontId="12" fillId="3" borderId="1" xfId="2" applyFont="1" applyFill="1" applyBorder="1" applyAlignment="1">
      <alignment vertical="center"/>
    </xf>
    <xf numFmtId="9" fontId="12" fillId="3" borderId="1" xfId="2" applyFont="1" applyFill="1" applyBorder="1" applyAlignment="1">
      <alignment horizontal="center" vertical="center"/>
    </xf>
    <xf numFmtId="10" fontId="12" fillId="3" borderId="1" xfId="2" applyNumberFormat="1" applyFont="1" applyFill="1" applyBorder="1" applyAlignment="1">
      <alignment horizontal="center" vertical="center"/>
    </xf>
    <xf numFmtId="0" fontId="2" fillId="0" borderId="0" xfId="0" applyFont="1" applyFill="1" applyAlignment="1">
      <alignment vertical="center"/>
    </xf>
    <xf numFmtId="9" fontId="15" fillId="3" borderId="1" xfId="0" applyNumberFormat="1" applyFont="1" applyFill="1" applyBorder="1" applyAlignment="1">
      <alignment vertical="center"/>
    </xf>
    <xf numFmtId="174" fontId="15" fillId="3" borderId="1" xfId="0" applyNumberFormat="1" applyFont="1" applyFill="1" applyBorder="1" applyAlignment="1">
      <alignment vertical="center"/>
    </xf>
    <xf numFmtId="0" fontId="14" fillId="0" borderId="8" xfId="0" applyFont="1" applyBorder="1" applyAlignment="1">
      <alignment vertical="center"/>
    </xf>
    <xf numFmtId="0" fontId="14" fillId="0" borderId="2" xfId="0" applyFont="1" applyBorder="1" applyAlignment="1">
      <alignment vertical="center"/>
    </xf>
    <xf numFmtId="10" fontId="14" fillId="0" borderId="0" xfId="0" applyNumberFormat="1" applyFont="1" applyBorder="1" applyAlignment="1">
      <alignment vertical="center"/>
    </xf>
    <xf numFmtId="0" fontId="19" fillId="0" borderId="2" xfId="0" applyFont="1" applyFill="1" applyBorder="1" applyAlignment="1">
      <alignment horizontal="center" vertical="center"/>
    </xf>
    <xf numFmtId="0" fontId="21" fillId="0" borderId="0" xfId="0" applyFont="1" applyAlignment="1">
      <alignment vertical="center"/>
    </xf>
    <xf numFmtId="0" fontId="15" fillId="4" borderId="1" xfId="0" applyFont="1" applyFill="1" applyBorder="1" applyAlignment="1">
      <alignment horizontal="left" vertical="center"/>
    </xf>
    <xf numFmtId="0" fontId="15" fillId="4" borderId="1" xfId="0" applyFont="1" applyFill="1" applyBorder="1" applyAlignment="1">
      <alignment horizontal="center" vertical="center"/>
    </xf>
    <xf numFmtId="0" fontId="13" fillId="4" borderId="9" xfId="0" applyFont="1" applyFill="1" applyBorder="1" applyAlignment="1">
      <alignment horizontal="center" vertical="center"/>
    </xf>
    <xf numFmtId="0" fontId="21" fillId="0" borderId="1" xfId="0" applyFont="1" applyBorder="1" applyAlignment="1">
      <alignment vertical="center"/>
    </xf>
    <xf numFmtId="4" fontId="21" fillId="0" borderId="1" xfId="0" applyNumberFormat="1" applyFont="1" applyBorder="1" applyAlignment="1">
      <alignment vertical="center"/>
    </xf>
    <xf numFmtId="0" fontId="20" fillId="0" borderId="1" xfId="0" applyFont="1" applyBorder="1" applyAlignment="1">
      <alignment vertical="center"/>
    </xf>
    <xf numFmtId="175" fontId="21" fillId="0" borderId="1" xfId="1" applyNumberFormat="1" applyFont="1" applyBorder="1" applyAlignment="1">
      <alignment vertical="center"/>
    </xf>
    <xf numFmtId="10" fontId="21" fillId="0" borderId="1" xfId="0" applyNumberFormat="1" applyFont="1" applyBorder="1" applyAlignment="1">
      <alignment vertical="center"/>
    </xf>
    <xf numFmtId="0" fontId="21" fillId="0" borderId="1" xfId="0" quotePrefix="1" applyFont="1" applyBorder="1" applyAlignment="1">
      <alignment horizontal="left" vertical="center"/>
    </xf>
    <xf numFmtId="0" fontId="21" fillId="0" borderId="1" xfId="0" applyFont="1" applyBorder="1" applyAlignment="1">
      <alignment horizontal="left" vertical="center"/>
    </xf>
    <xf numFmtId="4" fontId="22" fillId="0" borderId="1" xfId="0" applyNumberFormat="1" applyFont="1" applyBorder="1" applyAlignment="1">
      <alignment vertical="center"/>
    </xf>
    <xf numFmtId="4" fontId="2" fillId="0" borderId="1" xfId="0" applyNumberFormat="1" applyFont="1" applyBorder="1" applyAlignment="1">
      <alignment vertical="center"/>
    </xf>
    <xf numFmtId="4" fontId="2" fillId="0" borderId="0" xfId="0" applyNumberFormat="1" applyFont="1" applyAlignment="1">
      <alignment vertical="center"/>
    </xf>
    <xf numFmtId="0" fontId="21" fillId="0" borderId="0" xfId="0" applyFont="1" applyBorder="1" applyAlignment="1">
      <alignment vertical="center"/>
    </xf>
    <xf numFmtId="0" fontId="15" fillId="4" borderId="1" xfId="0" applyFont="1" applyFill="1" applyBorder="1" applyAlignment="1">
      <alignment vertical="center"/>
    </xf>
    <xf numFmtId="2" fontId="2" fillId="0" borderId="1" xfId="0" applyNumberFormat="1" applyFont="1" applyBorder="1" applyAlignment="1">
      <alignment vertical="center"/>
    </xf>
    <xf numFmtId="10" fontId="14" fillId="0" borderId="0" xfId="2" applyNumberFormat="1" applyFont="1" applyAlignment="1">
      <alignment vertical="center"/>
    </xf>
    <xf numFmtId="3" fontId="2" fillId="0" borderId="1" xfId="0" applyNumberFormat="1" applyFont="1" applyBorder="1" applyAlignment="1">
      <alignment vertical="center"/>
    </xf>
    <xf numFmtId="0" fontId="22" fillId="0" borderId="1" xfId="0" applyFont="1" applyBorder="1" applyAlignment="1">
      <alignment vertical="center"/>
    </xf>
    <xf numFmtId="167" fontId="2" fillId="0" borderId="0" xfId="1" applyNumberFormat="1" applyFont="1" applyAlignment="1">
      <alignment vertical="center"/>
    </xf>
    <xf numFmtId="0" fontId="22" fillId="0" borderId="0" xfId="0" applyFont="1" applyAlignment="1">
      <alignment vertical="center"/>
    </xf>
    <xf numFmtId="43" fontId="2" fillId="0" borderId="0" xfId="0" applyNumberFormat="1" applyFont="1" applyAlignment="1">
      <alignment vertical="center"/>
    </xf>
    <xf numFmtId="0" fontId="21" fillId="0" borderId="1" xfId="0" applyFont="1" applyBorder="1" applyAlignment="1">
      <alignment horizontal="center" vertical="center"/>
    </xf>
    <xf numFmtId="0" fontId="22" fillId="0" borderId="1" xfId="0" applyFont="1" applyFill="1" applyBorder="1" applyAlignment="1">
      <alignment horizontal="center" vertical="center"/>
    </xf>
    <xf numFmtId="167" fontId="21" fillId="0" borderId="1" xfId="1" applyNumberFormat="1" applyFont="1" applyBorder="1" applyAlignment="1">
      <alignment horizontal="center" vertical="center"/>
    </xf>
    <xf numFmtId="2" fontId="14" fillId="0" borderId="1" xfId="0" applyNumberFormat="1" applyFont="1" applyBorder="1" applyAlignment="1">
      <alignment vertical="center"/>
    </xf>
    <xf numFmtId="0" fontId="14" fillId="0" borderId="0" xfId="0" applyFont="1" applyFill="1" applyAlignment="1">
      <alignment vertical="center"/>
    </xf>
    <xf numFmtId="2" fontId="14" fillId="0" borderId="0" xfId="0" applyNumberFormat="1" applyFont="1" applyAlignment="1">
      <alignment vertical="center"/>
    </xf>
    <xf numFmtId="167" fontId="14" fillId="0" borderId="1" xfId="0" applyNumberFormat="1" applyFont="1" applyBorder="1" applyAlignment="1">
      <alignment vertical="center"/>
    </xf>
    <xf numFmtId="0" fontId="14" fillId="0" borderId="1" xfId="0" applyFont="1" applyFill="1" applyBorder="1" applyAlignment="1">
      <alignment vertical="center"/>
    </xf>
    <xf numFmtId="2" fontId="2" fillId="0" borderId="0" xfId="0" applyNumberFormat="1" applyFont="1" applyAlignment="1">
      <alignment vertical="center"/>
    </xf>
    <xf numFmtId="0" fontId="21" fillId="0" borderId="1" xfId="0" applyFont="1" applyFill="1" applyBorder="1" applyAlignment="1">
      <alignment vertical="center"/>
    </xf>
    <xf numFmtId="167" fontId="21" fillId="0" borderId="1" xfId="1" applyNumberFormat="1" applyFont="1" applyFill="1" applyBorder="1" applyAlignment="1">
      <alignment vertical="center"/>
    </xf>
    <xf numFmtId="9" fontId="14" fillId="3" borderId="0" xfId="0" applyNumberFormat="1" applyFont="1" applyFill="1" applyAlignment="1">
      <alignment vertical="center"/>
    </xf>
    <xf numFmtId="0" fontId="20" fillId="0" borderId="1" xfId="0" applyFont="1" applyFill="1" applyBorder="1" applyAlignment="1">
      <alignment vertical="center"/>
    </xf>
    <xf numFmtId="167" fontId="20" fillId="0" borderId="1" xfId="1" applyNumberFormat="1" applyFont="1" applyFill="1" applyBorder="1" applyAlignment="1">
      <alignment vertical="center"/>
    </xf>
    <xf numFmtId="0" fontId="21" fillId="0" borderId="0" xfId="0" applyFont="1" applyFill="1" applyAlignment="1">
      <alignment vertical="center"/>
    </xf>
    <xf numFmtId="171" fontId="21" fillId="0" borderId="0" xfId="8" applyNumberFormat="1" applyFont="1" applyFill="1" applyAlignment="1">
      <alignment vertical="center"/>
    </xf>
    <xf numFmtId="171" fontId="21" fillId="0" borderId="1" xfId="8" applyNumberFormat="1" applyFont="1" applyFill="1" applyBorder="1" applyAlignment="1">
      <alignment vertical="center"/>
    </xf>
    <xf numFmtId="176" fontId="21" fillId="0" borderId="1" xfId="8" applyNumberFormat="1" applyFont="1" applyFill="1" applyBorder="1" applyAlignment="1">
      <alignment vertical="center"/>
    </xf>
    <xf numFmtId="164" fontId="21" fillId="0" borderId="1" xfId="8" applyFont="1" applyFill="1" applyBorder="1" applyAlignment="1">
      <alignment vertical="center"/>
    </xf>
    <xf numFmtId="43" fontId="20" fillId="0" borderId="1" xfId="8" applyNumberFormat="1" applyFont="1" applyFill="1" applyBorder="1" applyAlignment="1">
      <alignment vertical="center"/>
    </xf>
    <xf numFmtId="171" fontId="20" fillId="0" borderId="1" xfId="8" applyNumberFormat="1" applyFont="1" applyFill="1" applyBorder="1" applyAlignment="1">
      <alignment vertical="center"/>
    </xf>
    <xf numFmtId="0" fontId="25" fillId="0" borderId="0" xfId="0" applyFont="1" applyAlignment="1">
      <alignment vertical="center"/>
    </xf>
    <xf numFmtId="0" fontId="14" fillId="0" borderId="0" xfId="0" applyFont="1" applyBorder="1" applyAlignment="1">
      <alignment vertical="center"/>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20" fillId="0" borderId="1" xfId="0" applyFont="1" applyFill="1" applyBorder="1" applyAlignment="1">
      <alignment vertical="center" wrapText="1"/>
    </xf>
    <xf numFmtId="167" fontId="21" fillId="0" borderId="1" xfId="9" applyNumberFormat="1" applyFont="1" applyFill="1" applyBorder="1" applyAlignment="1">
      <alignment vertical="center" wrapText="1"/>
    </xf>
    <xf numFmtId="0" fontId="21" fillId="0" borderId="1" xfId="0" applyFont="1" applyFill="1" applyBorder="1" applyAlignment="1">
      <alignment horizontal="left" vertical="center" wrapText="1"/>
    </xf>
    <xf numFmtId="167" fontId="20" fillId="0" borderId="1" xfId="9" applyNumberFormat="1" applyFont="1" applyFill="1" applyBorder="1" applyAlignment="1">
      <alignment vertical="center" wrapText="1"/>
    </xf>
    <xf numFmtId="0" fontId="21" fillId="0" borderId="1" xfId="0" applyFont="1" applyFill="1" applyBorder="1" applyAlignment="1">
      <alignment horizontal="right" vertical="center" wrapText="1"/>
    </xf>
    <xf numFmtId="173" fontId="21" fillId="0" borderId="1" xfId="9" applyNumberFormat="1" applyFont="1" applyFill="1" applyBorder="1" applyAlignment="1">
      <alignment vertical="center" wrapText="1"/>
    </xf>
    <xf numFmtId="167" fontId="21" fillId="0" borderId="1" xfId="1" applyNumberFormat="1" applyFont="1" applyFill="1" applyBorder="1" applyAlignment="1">
      <alignment vertical="center" wrapText="1"/>
    </xf>
    <xf numFmtId="0" fontId="20" fillId="0" borderId="1" xfId="0" applyFont="1" applyFill="1" applyBorder="1" applyAlignment="1">
      <alignment horizontal="right" vertical="center" wrapText="1"/>
    </xf>
    <xf numFmtId="167" fontId="21" fillId="6" borderId="1" xfId="9" applyNumberFormat="1" applyFont="1" applyFill="1" applyBorder="1" applyAlignment="1">
      <alignment vertical="center" wrapText="1"/>
    </xf>
    <xf numFmtId="167" fontId="20" fillId="0" borderId="1" xfId="0" applyNumberFormat="1" applyFont="1" applyFill="1" applyBorder="1" applyAlignment="1">
      <alignment vertical="center" wrapText="1"/>
    </xf>
    <xf numFmtId="167" fontId="21" fillId="0" borderId="1" xfId="0" applyNumberFormat="1" applyFont="1" applyFill="1" applyBorder="1" applyAlignment="1">
      <alignment vertical="center" wrapText="1"/>
    </xf>
    <xf numFmtId="0" fontId="20" fillId="0" borderId="1" xfId="0" applyFont="1" applyFill="1" applyBorder="1" applyAlignment="1">
      <alignment horizontal="left" vertical="center" wrapText="1"/>
    </xf>
    <xf numFmtId="0" fontId="12" fillId="5" borderId="7" xfId="0" applyFont="1" applyFill="1" applyBorder="1" applyAlignment="1">
      <alignment horizontal="center" vertical="center"/>
    </xf>
    <xf numFmtId="0" fontId="36" fillId="0" borderId="0" xfId="0" applyFont="1" applyAlignment="1">
      <alignment vertical="center"/>
    </xf>
    <xf numFmtId="0" fontId="22" fillId="2" borderId="0" xfId="0" applyFont="1" applyFill="1" applyAlignment="1">
      <alignment vertical="center"/>
    </xf>
    <xf numFmtId="9" fontId="2" fillId="0" borderId="1" xfId="0" applyNumberFormat="1" applyFont="1" applyBorder="1" applyAlignment="1">
      <alignment vertical="center"/>
    </xf>
    <xf numFmtId="0" fontId="19" fillId="2" borderId="1" xfId="0" applyFont="1" applyFill="1" applyBorder="1" applyAlignment="1">
      <alignment vertical="center"/>
    </xf>
    <xf numFmtId="0" fontId="19" fillId="4" borderId="1" xfId="0" applyFont="1" applyFill="1" applyBorder="1" applyAlignment="1">
      <alignment vertical="center"/>
    </xf>
    <xf numFmtId="0" fontId="22" fillId="2" borderId="1" xfId="0" applyFont="1" applyFill="1" applyBorder="1" applyAlignment="1">
      <alignment vertical="center"/>
    </xf>
    <xf numFmtId="2" fontId="22" fillId="2" borderId="1" xfId="0" applyNumberFormat="1" applyFont="1" applyFill="1" applyBorder="1" applyAlignment="1">
      <alignment vertical="center"/>
    </xf>
    <xf numFmtId="177" fontId="22" fillId="2" borderId="1" xfId="0" applyNumberFormat="1" applyFont="1" applyFill="1" applyBorder="1" applyAlignment="1">
      <alignment vertical="center"/>
    </xf>
    <xf numFmtId="2" fontId="19" fillId="2" borderId="1" xfId="0" applyNumberFormat="1" applyFont="1" applyFill="1" applyBorder="1" applyAlignment="1">
      <alignment vertical="center"/>
    </xf>
    <xf numFmtId="0" fontId="24" fillId="0" borderId="0" xfId="0" applyFont="1" applyAlignment="1">
      <alignment vertical="center"/>
    </xf>
    <xf numFmtId="0" fontId="2" fillId="0" borderId="0" xfId="0" applyFont="1" applyBorder="1" applyAlignment="1">
      <alignment horizontal="center" vertical="center"/>
    </xf>
    <xf numFmtId="9" fontId="2" fillId="3" borderId="0" xfId="0" applyNumberFormat="1" applyFont="1" applyFill="1" applyAlignment="1">
      <alignment vertical="center"/>
    </xf>
    <xf numFmtId="0" fontId="2" fillId="3" borderId="0" xfId="0" applyNumberFormat="1" applyFont="1" applyFill="1" applyAlignment="1">
      <alignment vertical="center"/>
    </xf>
    <xf numFmtId="172" fontId="2" fillId="0" borderId="0" xfId="0" applyNumberFormat="1" applyFont="1" applyAlignment="1">
      <alignment vertical="center"/>
    </xf>
    <xf numFmtId="169" fontId="2" fillId="0" borderId="0" xfId="0" applyNumberFormat="1" applyFont="1" applyAlignment="1">
      <alignment vertical="center"/>
    </xf>
    <xf numFmtId="0" fontId="12" fillId="5" borderId="1" xfId="0" applyFont="1" applyFill="1" applyBorder="1" applyAlignment="1">
      <alignment horizontal="right" vertical="center"/>
    </xf>
    <xf numFmtId="2" fontId="12" fillId="5" borderId="1" xfId="0" applyNumberFormat="1" applyFont="1" applyFill="1" applyBorder="1" applyAlignment="1">
      <alignment horizontal="right" vertical="center"/>
    </xf>
    <xf numFmtId="0" fontId="19" fillId="0" borderId="0" xfId="4" applyFont="1" applyFill="1" applyBorder="1" applyAlignment="1">
      <alignment vertical="center"/>
    </xf>
    <xf numFmtId="0" fontId="19" fillId="0" borderId="0" xfId="4" applyFont="1" applyFill="1" applyBorder="1" applyAlignment="1">
      <alignment horizontal="center" vertical="center"/>
    </xf>
    <xf numFmtId="0" fontId="12" fillId="5" borderId="1" xfId="3" applyFont="1" applyFill="1" applyBorder="1" applyAlignment="1" applyProtection="1">
      <alignment vertical="center"/>
    </xf>
    <xf numFmtId="0" fontId="20" fillId="5" borderId="1" xfId="0" applyFont="1" applyFill="1" applyBorder="1" applyAlignment="1">
      <alignment vertical="center"/>
    </xf>
    <xf numFmtId="0" fontId="20" fillId="0" borderId="1" xfId="0" applyFont="1" applyFill="1" applyBorder="1" applyAlignment="1">
      <alignment horizontal="center" vertical="center"/>
    </xf>
    <xf numFmtId="0" fontId="37" fillId="0" borderId="1" xfId="0" applyFont="1" applyFill="1" applyBorder="1" applyAlignment="1">
      <alignment vertical="center"/>
    </xf>
    <xf numFmtId="0" fontId="38"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0" fillId="0" borderId="1" xfId="0" applyFont="1" applyFill="1" applyBorder="1" applyAlignment="1">
      <alignment horizontal="left" vertical="center"/>
    </xf>
    <xf numFmtId="173" fontId="22" fillId="0" borderId="1" xfId="0" applyNumberFormat="1" applyFont="1" applyFill="1" applyBorder="1" applyAlignment="1">
      <alignment vertical="center"/>
    </xf>
    <xf numFmtId="0" fontId="14" fillId="0" borderId="1" xfId="0" applyFont="1" applyFill="1" applyBorder="1" applyAlignment="1">
      <alignment horizontal="left" vertical="center"/>
    </xf>
    <xf numFmtId="173" fontId="19" fillId="0" borderId="1" xfId="0" applyNumberFormat="1" applyFont="1" applyFill="1" applyBorder="1" applyAlignment="1">
      <alignment vertical="center"/>
    </xf>
    <xf numFmtId="0" fontId="2" fillId="0" borderId="0" xfId="0" applyFont="1" applyAlignment="1">
      <alignment horizontal="left" vertical="center"/>
    </xf>
    <xf numFmtId="173" fontId="22" fillId="0" borderId="0" xfId="0" applyNumberFormat="1" applyFont="1" applyFill="1" applyBorder="1" applyAlignment="1">
      <alignment vertical="center"/>
    </xf>
    <xf numFmtId="0" fontId="20" fillId="7" borderId="0" xfId="0" applyFont="1" applyFill="1" applyBorder="1" applyAlignment="1">
      <alignment horizontal="left" vertical="center" wrapText="1"/>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vertical="center" wrapText="1"/>
    </xf>
    <xf numFmtId="10" fontId="2" fillId="0" borderId="0" xfId="0" applyNumberFormat="1" applyFont="1" applyBorder="1" applyAlignment="1">
      <alignment vertical="center"/>
    </xf>
    <xf numFmtId="0" fontId="2" fillId="0" borderId="0" xfId="0" applyFont="1" applyFill="1" applyBorder="1" applyAlignment="1">
      <alignment vertical="center" wrapText="1"/>
    </xf>
    <xf numFmtId="10" fontId="21" fillId="0" borderId="0" xfId="2" applyNumberFormat="1" applyFont="1" applyBorder="1" applyAlignment="1">
      <alignment vertical="center"/>
    </xf>
    <xf numFmtId="9" fontId="2" fillId="0" borderId="0" xfId="0" applyNumberFormat="1" applyFont="1" applyBorder="1" applyAlignment="1">
      <alignment vertical="center"/>
    </xf>
    <xf numFmtId="9" fontId="2" fillId="0" borderId="0" xfId="0" applyNumberFormat="1" applyFont="1" applyFill="1" applyBorder="1" applyAlignment="1">
      <alignment vertical="center"/>
    </xf>
    <xf numFmtId="0" fontId="39" fillId="0" borderId="0" xfId="3" applyFont="1" applyFill="1" applyBorder="1" applyAlignment="1" applyProtection="1">
      <alignment vertical="center"/>
    </xf>
    <xf numFmtId="173" fontId="15" fillId="4" borderId="1" xfId="9" applyNumberFormat="1" applyFont="1" applyFill="1" applyBorder="1" applyAlignment="1">
      <alignment horizontal="center" vertical="center"/>
    </xf>
    <xf numFmtId="173" fontId="22" fillId="0" borderId="0" xfId="9" applyNumberFormat="1" applyFont="1" applyFill="1" applyBorder="1" applyAlignment="1">
      <alignment vertical="center"/>
    </xf>
    <xf numFmtId="173" fontId="22" fillId="0" borderId="1" xfId="9" applyNumberFormat="1" applyFont="1" applyFill="1" applyBorder="1" applyAlignment="1">
      <alignment vertical="center"/>
    </xf>
    <xf numFmtId="173" fontId="19" fillId="0" borderId="1" xfId="0" applyNumberFormat="1" applyFont="1" applyBorder="1" applyAlignment="1">
      <alignment vertical="center"/>
    </xf>
    <xf numFmtId="173" fontId="19" fillId="0" borderId="0" xfId="0" applyNumberFormat="1" applyFont="1" applyAlignment="1">
      <alignment vertical="center"/>
    </xf>
    <xf numFmtId="38" fontId="19" fillId="0" borderId="0" xfId="0" applyNumberFormat="1" applyFont="1" applyFill="1" applyBorder="1" applyAlignment="1">
      <alignment horizontal="left" vertical="center"/>
    </xf>
    <xf numFmtId="0" fontId="19" fillId="0" borderId="0" xfId="0" applyFont="1" applyFill="1" applyBorder="1" applyAlignment="1">
      <alignment vertical="center"/>
    </xf>
    <xf numFmtId="0" fontId="21" fillId="0" borderId="9" xfId="0" applyFont="1" applyBorder="1" applyAlignment="1">
      <alignment vertical="center"/>
    </xf>
    <xf numFmtId="0" fontId="19" fillId="0" borderId="9" xfId="0" applyFont="1" applyBorder="1" applyAlignment="1">
      <alignment vertical="center"/>
    </xf>
    <xf numFmtId="9" fontId="19" fillId="3" borderId="0" xfId="2" applyNumberFormat="1" applyFont="1" applyFill="1" applyBorder="1" applyAlignment="1">
      <alignment vertical="center"/>
    </xf>
    <xf numFmtId="166" fontId="2" fillId="0" borderId="0" xfId="0" applyNumberFormat="1" applyFont="1" applyAlignment="1">
      <alignment vertical="center"/>
    </xf>
    <xf numFmtId="166" fontId="2" fillId="0" borderId="0" xfId="9" applyFont="1" applyAlignment="1">
      <alignment vertical="center"/>
    </xf>
    <xf numFmtId="0" fontId="14" fillId="0" borderId="5" xfId="0" applyFont="1" applyBorder="1" applyAlignment="1">
      <alignment horizontal="center" vertical="center" wrapText="1"/>
    </xf>
    <xf numFmtId="0" fontId="40" fillId="8"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14" fillId="10" borderId="1"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8" xfId="0" applyFont="1" applyBorder="1" applyAlignment="1">
      <alignment horizontal="left" vertical="center" wrapTex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4"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14" fillId="0" borderId="0" xfId="0" applyFont="1" applyAlignment="1">
      <alignment horizontal="center" vertical="center"/>
    </xf>
    <xf numFmtId="0" fontId="14" fillId="0" borderId="0" xfId="0" applyFont="1" applyBorder="1" applyAlignment="1">
      <alignment horizontal="center" vertical="center"/>
    </xf>
    <xf numFmtId="0" fontId="16" fillId="4" borderId="10"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0" xfId="0" applyFont="1" applyAlignment="1">
      <alignment horizontal="center"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4" fillId="0" borderId="0" xfId="0" applyFont="1" applyAlignment="1">
      <alignment horizontal="center" vertical="center" wrapText="1"/>
    </xf>
    <xf numFmtId="0" fontId="14" fillId="3" borderId="0" xfId="0" applyFont="1" applyFill="1" applyAlignment="1">
      <alignment horizontal="center" vertical="center"/>
    </xf>
    <xf numFmtId="0" fontId="19" fillId="0" borderId="0" xfId="4" applyFont="1" applyFill="1" applyBorder="1" applyAlignment="1">
      <alignment horizontal="center" vertical="center"/>
    </xf>
    <xf numFmtId="0" fontId="14" fillId="0" borderId="5"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center" vertical="center" wrapText="1"/>
    </xf>
    <xf numFmtId="0" fontId="19" fillId="2" borderId="0" xfId="0" applyFont="1" applyFill="1" applyAlignment="1">
      <alignment horizontal="center" vertical="center"/>
    </xf>
    <xf numFmtId="0" fontId="19" fillId="2" borderId="5" xfId="0" applyFont="1" applyFill="1" applyBorder="1" applyAlignment="1">
      <alignment horizontal="center" vertical="center"/>
    </xf>
    <xf numFmtId="0" fontId="16" fillId="5" borderId="10"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2" fillId="0" borderId="0" xfId="0" applyFont="1" applyAlignment="1">
      <alignment horizontal="center" vertical="center" wrapText="1"/>
    </xf>
    <xf numFmtId="0" fontId="16" fillId="5" borderId="1"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35" fillId="0" borderId="0" xfId="0" applyFont="1" applyAlignment="1">
      <alignment horizontal="center" vertical="center" wrapText="1"/>
    </xf>
    <xf numFmtId="0" fontId="14" fillId="0" borderId="11" xfId="0" applyFont="1" applyBorder="1" applyAlignment="1">
      <alignment horizontal="center" vertical="center"/>
    </xf>
    <xf numFmtId="0" fontId="33" fillId="0" borderId="0" xfId="0" applyFont="1" applyAlignment="1">
      <alignment horizontal="center" vertical="center" wrapText="1"/>
    </xf>
    <xf numFmtId="0" fontId="34" fillId="0" borderId="0" xfId="0" applyFont="1" applyAlignment="1">
      <alignment horizontal="center" vertical="center" wrapText="1"/>
    </xf>
    <xf numFmtId="0" fontId="20" fillId="0" borderId="1" xfId="0" applyFont="1" applyFill="1" applyBorder="1" applyAlignment="1">
      <alignment horizontal="center" vertical="center" wrapText="1"/>
    </xf>
    <xf numFmtId="0" fontId="18" fillId="0" borderId="0" xfId="0" applyFont="1" applyAlignment="1">
      <alignment horizontal="center" vertical="center" wrapText="1"/>
    </xf>
    <xf numFmtId="0" fontId="20" fillId="0" borderId="0" xfId="0" applyFont="1" applyAlignment="1">
      <alignment horizontal="center" vertical="center"/>
    </xf>
    <xf numFmtId="4" fontId="21" fillId="0" borderId="1" xfId="0" applyNumberFormat="1" applyFont="1" applyBorder="1" applyAlignment="1">
      <alignment horizontal="center" vertical="center"/>
    </xf>
    <xf numFmtId="4" fontId="21" fillId="0" borderId="0" xfId="0" applyNumberFormat="1" applyFont="1" applyBorder="1" applyAlignment="1">
      <alignment horizontal="center" vertical="center"/>
    </xf>
    <xf numFmtId="0" fontId="19" fillId="0" borderId="0" xfId="3" applyFont="1" applyAlignment="1" applyProtection="1">
      <alignment horizontal="center" vertical="center" wrapText="1"/>
    </xf>
    <xf numFmtId="0" fontId="23" fillId="0" borderId="0" xfId="0" applyFont="1" applyAlignment="1">
      <alignment horizontal="center" vertical="center" wrapText="1"/>
    </xf>
    <xf numFmtId="2" fontId="2" fillId="0" borderId="1" xfId="1" applyNumberFormat="1" applyFont="1" applyBorder="1" applyAlignment="1">
      <alignment horizontal="center" vertical="center"/>
    </xf>
    <xf numFmtId="10" fontId="14" fillId="0" borderId="1" xfId="2" applyNumberFormat="1" applyFont="1" applyBorder="1" applyAlignment="1">
      <alignment horizontal="center" vertical="center"/>
    </xf>
    <xf numFmtId="0" fontId="24" fillId="0" borderId="0" xfId="0" applyFont="1" applyAlignment="1">
      <alignment horizontal="center" vertical="center"/>
    </xf>
    <xf numFmtId="0" fontId="20" fillId="0" borderId="10" xfId="0" applyFont="1" applyFill="1" applyBorder="1" applyAlignment="1">
      <alignment horizontal="center" vertical="center"/>
    </xf>
    <xf numFmtId="0" fontId="20" fillId="0" borderId="5" xfId="0" applyFont="1" applyFill="1" applyBorder="1" applyAlignment="1">
      <alignment horizontal="center" vertical="center"/>
    </xf>
    <xf numFmtId="0" fontId="25" fillId="0" borderId="0" xfId="0" applyFont="1" applyAlignment="1">
      <alignment horizontal="center" vertical="center" wrapText="1"/>
    </xf>
    <xf numFmtId="0" fontId="8" fillId="0" borderId="0" xfId="0" applyFont="1" applyAlignment="1">
      <alignment horizontal="center"/>
    </xf>
    <xf numFmtId="0" fontId="8" fillId="0" borderId="5" xfId="0" applyFont="1" applyBorder="1" applyAlignment="1">
      <alignment horizontal="center"/>
    </xf>
    <xf numFmtId="0" fontId="7" fillId="0" borderId="0" xfId="0" applyFont="1" applyAlignment="1">
      <alignment horizontal="center"/>
    </xf>
    <xf numFmtId="0" fontId="8" fillId="0" borderId="4" xfId="0" applyFont="1" applyBorder="1" applyAlignment="1">
      <alignment horizontal="center"/>
    </xf>
    <xf numFmtId="0" fontId="8" fillId="0" borderId="8" xfId="0" applyFont="1" applyBorder="1" applyAlignment="1">
      <alignment horizontal="center"/>
    </xf>
    <xf numFmtId="0" fontId="8" fillId="0" borderId="2" xfId="0" applyFont="1" applyBorder="1" applyAlignment="1">
      <alignment horizontal="center"/>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0" fontId="11" fillId="0" borderId="4" xfId="0" applyFont="1" applyFill="1" applyBorder="1" applyAlignment="1">
      <alignment horizontal="center"/>
    </xf>
    <xf numFmtId="0" fontId="11" fillId="0" borderId="8" xfId="0" applyFont="1" applyFill="1" applyBorder="1" applyAlignment="1">
      <alignment horizontal="center"/>
    </xf>
    <xf numFmtId="0" fontId="11" fillId="0" borderId="2" xfId="0" applyFont="1" applyFill="1" applyBorder="1" applyAlignment="1">
      <alignment horizont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9" fillId="4" borderId="6" xfId="0" applyFont="1" applyFill="1" applyBorder="1" applyAlignment="1">
      <alignment vertical="center"/>
    </xf>
    <xf numFmtId="0" fontId="9" fillId="4" borderId="7" xfId="0" applyFont="1" applyFill="1" applyBorder="1" applyAlignment="1">
      <alignment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14" fillId="0" borderId="1" xfId="0" applyFont="1" applyBorder="1" applyAlignment="1">
      <alignment horizontal="center" vertical="center"/>
    </xf>
    <xf numFmtId="0" fontId="2" fillId="0" borderId="0" xfId="0" applyFont="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2" xfId="0" applyFont="1" applyBorder="1" applyAlignment="1">
      <alignment horizontal="center" vertical="center"/>
    </xf>
    <xf numFmtId="0" fontId="15" fillId="4" borderId="6" xfId="0" applyFont="1" applyFill="1" applyBorder="1" applyAlignment="1">
      <alignment horizontal="left" vertical="center"/>
    </xf>
    <xf numFmtId="0" fontId="15" fillId="4" borderId="7" xfId="0" applyFont="1" applyFill="1" applyBorder="1" applyAlignment="1">
      <alignment horizontal="left" vertical="center"/>
    </xf>
    <xf numFmtId="0" fontId="19"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14" fillId="0" borderId="1" xfId="0" applyFont="1" applyBorder="1" applyAlignment="1">
      <alignment horizontal="center" vertical="center" wrapText="1"/>
    </xf>
    <xf numFmtId="0" fontId="12" fillId="4" borderId="6" xfId="0" applyFont="1" applyFill="1" applyBorder="1" applyAlignment="1">
      <alignment vertical="center"/>
    </xf>
    <xf numFmtId="0" fontId="12" fillId="4" borderId="7" xfId="0" applyFont="1" applyFill="1" applyBorder="1" applyAlignment="1">
      <alignment vertical="center"/>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8" fillId="0" borderId="0" xfId="0" applyFont="1" applyFill="1" applyBorder="1" applyAlignment="1">
      <alignment horizontal="center"/>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7" xfId="0" applyFont="1" applyBorder="1" applyAlignment="1">
      <alignment horizontal="center" vertical="center" wrapText="1"/>
    </xf>
  </cellXfs>
  <cellStyles count="11">
    <cellStyle name="Comma" xfId="1" builtinId="3"/>
    <cellStyle name="Comma 2" xfId="9"/>
    <cellStyle name="Comma 2 2" xfId="8"/>
    <cellStyle name="Comma 3" xfId="10"/>
    <cellStyle name="Currency 2" xfId="5"/>
    <cellStyle name="Currency 3" xfId="6"/>
    <cellStyle name="Hyperlink" xfId="3" builtinId="8"/>
    <cellStyle name="Normal" xfId="0" builtinId="0"/>
    <cellStyle name="Normal 3" xfId="4"/>
    <cellStyle name="Percent" xfId="2" builtinId="5"/>
    <cellStyle name="Percent 2" xfId="7"/>
  </cellStyles>
  <dxfs count="4">
    <dxf>
      <font>
        <color rgb="FFFF0000"/>
      </font>
    </dxf>
    <dxf>
      <font>
        <color rgb="FFFF0000"/>
      </font>
    </dxf>
    <dxf>
      <font>
        <color rgb="FFFF0000"/>
      </font>
    </dxf>
    <dxf>
      <font>
        <color rgb="FF9C0006"/>
      </font>
      <fill>
        <patternFill patternType="solid">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E37"/>
  <sheetViews>
    <sheetView tabSelected="1" workbookViewId="0">
      <selection activeCell="B4" sqref="A1:XFD1048576"/>
    </sheetView>
  </sheetViews>
  <sheetFormatPr defaultColWidth="9.140625" defaultRowHeight="15"/>
  <cols>
    <col min="1" max="1" width="12.85546875" style="209" customWidth="1"/>
    <col min="2" max="2" width="56" style="209" customWidth="1"/>
    <col min="3" max="3" width="26.28515625" style="209" customWidth="1"/>
    <col min="4" max="4" width="20.7109375" style="209" customWidth="1"/>
    <col min="5" max="5" width="29.42578125" style="209" customWidth="1"/>
    <col min="6" max="16384" width="9.140625" style="209"/>
  </cols>
  <sheetData>
    <row r="1" spans="1:5" ht="26.25" customHeight="1">
      <c r="A1" s="397" t="s">
        <v>0</v>
      </c>
      <c r="B1" s="397"/>
      <c r="C1" s="397"/>
      <c r="D1" s="397"/>
      <c r="E1" s="397"/>
    </row>
    <row r="2" spans="1:5" ht="26.25" customHeight="1">
      <c r="A2" s="398" t="s">
        <v>1</v>
      </c>
      <c r="B2" s="398"/>
      <c r="C2" s="398"/>
      <c r="D2" s="398"/>
      <c r="E2" s="398"/>
    </row>
    <row r="3" spans="1:5" ht="23.25" customHeight="1">
      <c r="A3" s="399" t="s">
        <v>2</v>
      </c>
      <c r="B3" s="399"/>
      <c r="C3" s="399"/>
      <c r="D3" s="399"/>
      <c r="E3" s="399"/>
    </row>
    <row r="4" spans="1:5" ht="240.75" customHeight="1">
      <c r="A4" s="400" t="s">
        <v>752</v>
      </c>
      <c r="B4" s="400"/>
      <c r="C4" s="400"/>
      <c r="D4" s="400"/>
      <c r="E4" s="400"/>
    </row>
    <row r="5" spans="1:5" ht="23.25" customHeight="1">
      <c r="A5" s="399" t="s">
        <v>3</v>
      </c>
      <c r="B5" s="399"/>
      <c r="C5" s="399"/>
      <c r="D5" s="399"/>
      <c r="E5" s="399"/>
    </row>
    <row r="6" spans="1:5" ht="108" customHeight="1">
      <c r="A6" s="401" t="s">
        <v>753</v>
      </c>
      <c r="B6" s="402"/>
      <c r="C6" s="402"/>
      <c r="D6" s="402"/>
      <c r="E6" s="403"/>
    </row>
    <row r="7" spans="1:5" ht="23.25" customHeight="1">
      <c r="A7" s="404" t="s">
        <v>4</v>
      </c>
      <c r="B7" s="404"/>
      <c r="C7" s="404"/>
      <c r="D7" s="404"/>
      <c r="E7" s="404"/>
    </row>
    <row r="8" spans="1:5" ht="125.25" customHeight="1">
      <c r="A8" s="400" t="s">
        <v>5</v>
      </c>
      <c r="B8" s="400"/>
      <c r="C8" s="400"/>
      <c r="D8" s="400"/>
      <c r="E8" s="400"/>
    </row>
    <row r="9" spans="1:5">
      <c r="A9" s="399" t="s">
        <v>6</v>
      </c>
      <c r="B9" s="399"/>
      <c r="C9" s="399"/>
      <c r="D9" s="399"/>
      <c r="E9" s="399"/>
    </row>
    <row r="10" spans="1:5">
      <c r="A10" s="209" t="s">
        <v>7</v>
      </c>
      <c r="B10" s="209" t="s">
        <v>8</v>
      </c>
    </row>
    <row r="11" spans="1:5" ht="20.25" customHeight="1">
      <c r="A11" s="210"/>
      <c r="B11" s="405" t="s">
        <v>9</v>
      </c>
      <c r="C11" s="406"/>
      <c r="D11" s="406"/>
      <c r="E11" s="407"/>
    </row>
    <row r="12" spans="1:5">
      <c r="A12" s="211"/>
      <c r="B12" s="408" t="s">
        <v>10</v>
      </c>
      <c r="C12" s="408"/>
      <c r="D12" s="408"/>
      <c r="E12" s="408"/>
    </row>
    <row r="13" spans="1:5" s="212" customFormat="1">
      <c r="A13" s="409"/>
      <c r="B13" s="409"/>
      <c r="C13" s="409"/>
      <c r="D13" s="409"/>
      <c r="E13" s="410"/>
    </row>
    <row r="14" spans="1:5">
      <c r="A14" s="399" t="s">
        <v>11</v>
      </c>
      <c r="B14" s="399"/>
      <c r="C14" s="399"/>
      <c r="D14" s="399"/>
      <c r="E14" s="399"/>
    </row>
    <row r="15" spans="1:5">
      <c r="A15" s="213" t="s">
        <v>12</v>
      </c>
      <c r="B15" s="213" t="s">
        <v>13</v>
      </c>
      <c r="C15" s="213" t="s">
        <v>14</v>
      </c>
      <c r="D15" s="213" t="s">
        <v>15</v>
      </c>
      <c r="E15" s="213" t="s">
        <v>16</v>
      </c>
    </row>
    <row r="16" spans="1:5">
      <c r="A16" s="214" t="s">
        <v>17</v>
      </c>
      <c r="B16" s="214" t="s">
        <v>18</v>
      </c>
      <c r="C16" s="214"/>
      <c r="D16" s="214"/>
      <c r="E16" s="214"/>
    </row>
    <row r="17" spans="1:5" ht="60">
      <c r="A17" s="215" t="s">
        <v>19</v>
      </c>
      <c r="B17" s="216" t="s">
        <v>20</v>
      </c>
      <c r="C17" s="216" t="s">
        <v>21</v>
      </c>
      <c r="D17" s="216" t="s">
        <v>22</v>
      </c>
      <c r="E17" s="216"/>
    </row>
    <row r="18" spans="1:5" ht="90">
      <c r="A18" s="215" t="s">
        <v>23</v>
      </c>
      <c r="B18" s="216" t="s">
        <v>24</v>
      </c>
      <c r="C18" s="216" t="s">
        <v>25</v>
      </c>
      <c r="D18" s="216" t="s">
        <v>26</v>
      </c>
      <c r="E18" s="216"/>
    </row>
    <row r="19" spans="1:5" ht="35.1" customHeight="1">
      <c r="A19" s="215" t="s">
        <v>27</v>
      </c>
      <c r="B19" s="217" t="s">
        <v>28</v>
      </c>
      <c r="C19" s="216" t="s">
        <v>29</v>
      </c>
      <c r="D19" s="216" t="s">
        <v>30</v>
      </c>
      <c r="E19" s="216" t="s">
        <v>31</v>
      </c>
    </row>
    <row r="20" spans="1:5" ht="30">
      <c r="A20" s="215" t="s">
        <v>32</v>
      </c>
      <c r="B20" s="216" t="s">
        <v>33</v>
      </c>
      <c r="C20" s="216"/>
      <c r="D20" s="216"/>
      <c r="E20" s="216"/>
    </row>
    <row r="21" spans="1:5">
      <c r="A21" s="216">
        <v>4.0999999999999996</v>
      </c>
      <c r="B21" s="216" t="s">
        <v>34</v>
      </c>
      <c r="C21" s="412" t="s">
        <v>35</v>
      </c>
      <c r="D21" s="216" t="s">
        <v>36</v>
      </c>
      <c r="E21" s="216"/>
    </row>
    <row r="22" spans="1:5" ht="30">
      <c r="A22" s="216">
        <v>4.2</v>
      </c>
      <c r="B22" s="216" t="s">
        <v>37</v>
      </c>
      <c r="C22" s="413"/>
      <c r="D22" s="216" t="s">
        <v>38</v>
      </c>
      <c r="E22" s="216"/>
    </row>
    <row r="23" spans="1:5">
      <c r="A23" s="216">
        <v>4.3</v>
      </c>
      <c r="B23" s="216" t="s">
        <v>39</v>
      </c>
      <c r="C23" s="413"/>
      <c r="D23" s="216" t="s">
        <v>40</v>
      </c>
      <c r="E23" s="216"/>
    </row>
    <row r="24" spans="1:5">
      <c r="A24" s="216">
        <v>4.4000000000000004</v>
      </c>
      <c r="B24" s="216" t="s">
        <v>41</v>
      </c>
      <c r="C24" s="413"/>
      <c r="D24" s="216" t="s">
        <v>42</v>
      </c>
      <c r="E24" s="216"/>
    </row>
    <row r="25" spans="1:5">
      <c r="A25" s="216">
        <v>4.5</v>
      </c>
      <c r="B25" s="216" t="s">
        <v>43</v>
      </c>
      <c r="C25" s="413"/>
      <c r="D25" s="216" t="s">
        <v>44</v>
      </c>
      <c r="E25" s="216"/>
    </row>
    <row r="26" spans="1:5">
      <c r="A26" s="216">
        <v>4.5999999999999996</v>
      </c>
      <c r="B26" s="216" t="s">
        <v>45</v>
      </c>
      <c r="C26" s="414"/>
      <c r="D26" s="216" t="s">
        <v>46</v>
      </c>
      <c r="E26" s="216"/>
    </row>
    <row r="27" spans="1:5" ht="45">
      <c r="A27" s="215" t="s">
        <v>47</v>
      </c>
      <c r="B27" s="216" t="s">
        <v>48</v>
      </c>
      <c r="C27" s="216" t="s">
        <v>49</v>
      </c>
      <c r="D27" s="216" t="s">
        <v>50</v>
      </c>
      <c r="E27" s="216"/>
    </row>
    <row r="28" spans="1:5" ht="60">
      <c r="A28" s="215" t="s">
        <v>51</v>
      </c>
      <c r="B28" s="216" t="s">
        <v>52</v>
      </c>
      <c r="C28" s="216" t="s">
        <v>53</v>
      </c>
      <c r="D28" s="216" t="s">
        <v>54</v>
      </c>
      <c r="E28" s="216"/>
    </row>
    <row r="29" spans="1:5" ht="45">
      <c r="A29" s="215" t="s">
        <v>55</v>
      </c>
      <c r="B29" s="216" t="s">
        <v>56</v>
      </c>
      <c r="C29" s="216" t="s">
        <v>57</v>
      </c>
      <c r="D29" s="216" t="s">
        <v>58</v>
      </c>
      <c r="E29" s="216"/>
    </row>
    <row r="30" spans="1:5">
      <c r="A30" s="214" t="s">
        <v>59</v>
      </c>
      <c r="B30" s="218" t="s">
        <v>60</v>
      </c>
      <c r="C30" s="214"/>
      <c r="D30" s="214"/>
      <c r="E30" s="214"/>
    </row>
    <row r="31" spans="1:5" ht="26.25" customHeight="1">
      <c r="A31" s="219" t="s">
        <v>61</v>
      </c>
      <c r="B31" s="216" t="s">
        <v>62</v>
      </c>
      <c r="C31" s="216"/>
      <c r="D31" s="216" t="s">
        <v>63</v>
      </c>
      <c r="E31" s="216" t="s">
        <v>31</v>
      </c>
    </row>
    <row r="32" spans="1:5">
      <c r="A32" s="219" t="s">
        <v>64</v>
      </c>
      <c r="B32" s="216" t="s">
        <v>65</v>
      </c>
      <c r="C32" s="216"/>
      <c r="D32" s="216" t="s">
        <v>66</v>
      </c>
      <c r="E32" s="216" t="s">
        <v>31</v>
      </c>
    </row>
    <row r="33" spans="1:5">
      <c r="A33" s="219" t="s">
        <v>67</v>
      </c>
      <c r="B33" s="216" t="s">
        <v>68</v>
      </c>
      <c r="C33" s="216"/>
      <c r="D33" s="216" t="s">
        <v>69</v>
      </c>
      <c r="E33" s="216" t="s">
        <v>31</v>
      </c>
    </row>
    <row r="34" spans="1:5" ht="35.25" customHeight="1">
      <c r="A34" s="219" t="s">
        <v>70</v>
      </c>
      <c r="B34" s="216" t="s">
        <v>71</v>
      </c>
      <c r="C34" s="216"/>
      <c r="D34" s="216" t="s">
        <v>72</v>
      </c>
      <c r="E34" s="216" t="s">
        <v>31</v>
      </c>
    </row>
    <row r="35" spans="1:5" ht="35.25" customHeight="1">
      <c r="A35" s="219" t="s">
        <v>73</v>
      </c>
      <c r="B35" s="216" t="s">
        <v>74</v>
      </c>
      <c r="C35" s="216"/>
      <c r="D35" s="216" t="s">
        <v>75</v>
      </c>
      <c r="E35" s="216" t="s">
        <v>31</v>
      </c>
    </row>
    <row r="36" spans="1:5">
      <c r="A36" s="215" t="s">
        <v>76</v>
      </c>
      <c r="B36" s="216" t="s">
        <v>77</v>
      </c>
      <c r="C36" s="216"/>
      <c r="D36" s="216"/>
      <c r="E36" s="216"/>
    </row>
    <row r="37" spans="1:5">
      <c r="A37" s="411"/>
      <c r="B37" s="411"/>
      <c r="C37" s="411"/>
      <c r="D37" s="411"/>
      <c r="E37" s="411"/>
    </row>
  </sheetData>
  <mergeCells count="15">
    <mergeCell ref="B12:E12"/>
    <mergeCell ref="A13:E13"/>
    <mergeCell ref="A14:E14"/>
    <mergeCell ref="A37:E37"/>
    <mergeCell ref="C21:C26"/>
    <mergeCell ref="A6:E6"/>
    <mergeCell ref="A7:E7"/>
    <mergeCell ref="A8:E8"/>
    <mergeCell ref="A9:E9"/>
    <mergeCell ref="B11:E11"/>
    <mergeCell ref="A1:E1"/>
    <mergeCell ref="A2:E2"/>
    <mergeCell ref="A3:E3"/>
    <mergeCell ref="A4:E4"/>
    <mergeCell ref="A5:E5"/>
  </mergeCells>
  <pageMargins left="0.7" right="0.7" top="0.75" bottom="0.75" header="0.3" footer="0.3"/>
  <pageSetup paperSize="9" orientation="portrait" horizontalDpi="300"/>
</worksheet>
</file>

<file path=xl/worksheets/sheet10.xml><?xml version="1.0" encoding="utf-8"?>
<worksheet xmlns="http://schemas.openxmlformats.org/spreadsheetml/2006/main" xmlns:r="http://schemas.openxmlformats.org/officeDocument/2006/relationships">
  <dimension ref="B5:S181"/>
  <sheetViews>
    <sheetView view="pageBreakPreview" topLeftCell="A166" zoomScale="80" workbookViewId="0">
      <selection activeCell="K23" sqref="K23"/>
    </sheetView>
  </sheetViews>
  <sheetFormatPr defaultColWidth="9" defaultRowHeight="15"/>
  <cols>
    <col min="1" max="1" width="9" style="220"/>
    <col min="2" max="2" width="32.7109375" style="220" customWidth="1"/>
    <col min="3" max="3" width="18" style="220" bestFit="1" customWidth="1"/>
    <col min="4" max="9" width="15.85546875" style="220" bestFit="1" customWidth="1"/>
    <col min="10" max="10" width="12.7109375" style="220" customWidth="1"/>
    <col min="11" max="11" width="14.42578125" style="220" customWidth="1"/>
    <col min="12" max="12" width="14.85546875" style="220" customWidth="1"/>
    <col min="13" max="18" width="11.85546875" style="220" customWidth="1"/>
    <col min="19" max="19" width="4.5703125" style="220" customWidth="1"/>
    <col min="20" max="16384" width="9" style="220"/>
  </cols>
  <sheetData>
    <row r="5" spans="2:12">
      <c r="B5" s="445" t="s">
        <v>424</v>
      </c>
      <c r="C5" s="445"/>
      <c r="D5" s="445"/>
      <c r="E5" s="445"/>
      <c r="F5" s="445"/>
      <c r="G5" s="445"/>
      <c r="H5" s="445"/>
      <c r="I5" s="445"/>
      <c r="J5" s="445"/>
    </row>
    <row r="6" spans="2:12">
      <c r="B6" s="283"/>
      <c r="C6" s="283"/>
      <c r="D6" s="283"/>
      <c r="E6" s="283"/>
      <c r="F6" s="283"/>
      <c r="G6" s="283"/>
      <c r="H6" s="283"/>
      <c r="I6" s="283"/>
      <c r="J6" s="283"/>
    </row>
    <row r="7" spans="2:12">
      <c r="B7" s="284" t="s">
        <v>425</v>
      </c>
      <c r="C7" s="285" t="s">
        <v>426</v>
      </c>
      <c r="D7" s="285" t="s">
        <v>148</v>
      </c>
      <c r="E7" s="285" t="s">
        <v>149</v>
      </c>
      <c r="F7" s="285" t="s">
        <v>150</v>
      </c>
      <c r="G7" s="285" t="s">
        <v>151</v>
      </c>
      <c r="H7" s="285" t="s">
        <v>152</v>
      </c>
      <c r="I7" s="285" t="s">
        <v>153</v>
      </c>
      <c r="J7" s="285" t="s">
        <v>154</v>
      </c>
      <c r="L7" s="286"/>
    </row>
    <row r="8" spans="2:12">
      <c r="B8" s="287"/>
      <c r="C8" s="287"/>
      <c r="D8" s="287"/>
      <c r="E8" s="287"/>
      <c r="F8" s="287"/>
      <c r="G8" s="287"/>
      <c r="H8" s="287"/>
      <c r="I8" s="287"/>
      <c r="J8" s="287"/>
    </row>
    <row r="9" spans="2:12">
      <c r="B9" s="287" t="s">
        <v>427</v>
      </c>
      <c r="C9" s="287"/>
      <c r="D9" s="288">
        <f>'6.Cons Profit &amp; Loss'!B51</f>
        <v>1328901.4039205913</v>
      </c>
      <c r="E9" s="288">
        <f>'6.Cons Profit &amp; Loss'!C51</f>
        <v>1860298.1972305421</v>
      </c>
      <c r="F9" s="288">
        <f>'6.Cons Profit &amp; Loss'!D51</f>
        <v>2406579.286473183</v>
      </c>
      <c r="G9" s="288">
        <f>'6.Cons Profit &amp; Loss'!E51</f>
        <v>3023440.5070288964</v>
      </c>
      <c r="H9" s="288">
        <f>'6.Cons Profit &amp; Loss'!F51</f>
        <v>3710953.7823556666</v>
      </c>
      <c r="I9" s="288">
        <f>'6.Cons Profit &amp; Loss'!G51</f>
        <v>4536194.8003691491</v>
      </c>
      <c r="J9" s="288">
        <f>'6.Cons Profit &amp; Loss'!H51</f>
        <v>5206460.3232286554</v>
      </c>
    </row>
    <row r="10" spans="2:12">
      <c r="B10" s="287"/>
      <c r="C10" s="287"/>
      <c r="D10" s="288"/>
      <c r="E10" s="288"/>
      <c r="F10" s="288"/>
      <c r="G10" s="288"/>
      <c r="H10" s="288"/>
      <c r="I10" s="288"/>
      <c r="J10" s="288"/>
    </row>
    <row r="11" spans="2:12">
      <c r="B11" s="289" t="s">
        <v>751</v>
      </c>
      <c r="C11" s="289"/>
      <c r="D11" s="288">
        <f>'6.Cons Profit &amp; Loss'!B42</f>
        <v>1088030.95</v>
      </c>
      <c r="E11" s="288">
        <f>'6.Cons Profit &amp; Loss'!C42</f>
        <v>1088030.95</v>
      </c>
      <c r="F11" s="288">
        <f>'6.Cons Profit &amp; Loss'!D42</f>
        <v>1088030.95</v>
      </c>
      <c r="G11" s="288">
        <f>'6.Cons Profit &amp; Loss'!E42</f>
        <v>1088030.95</v>
      </c>
      <c r="H11" s="288">
        <f>'6.Cons Profit &amp; Loss'!F42</f>
        <v>1088030.95</v>
      </c>
      <c r="I11" s="288">
        <f>'6.Cons Profit &amp; Loss'!G42</f>
        <v>1088030.95</v>
      </c>
      <c r="J11" s="288">
        <f>'6.Cons Profit &amp; Loss'!H42</f>
        <v>1088030.95</v>
      </c>
    </row>
    <row r="12" spans="2:12">
      <c r="B12" s="287" t="s">
        <v>428</v>
      </c>
      <c r="C12" s="287"/>
      <c r="D12" s="288">
        <f>'6.Cons Profit &amp; Loss'!B43</f>
        <v>184600</v>
      </c>
      <c r="E12" s="288">
        <f>'6.Cons Profit &amp; Loss'!C43</f>
        <v>184600</v>
      </c>
      <c r="F12" s="288">
        <f>'6.Cons Profit &amp; Loss'!D43</f>
        <v>184600</v>
      </c>
      <c r="G12" s="288">
        <f>'6.Cons Profit &amp; Loss'!E43</f>
        <v>184600</v>
      </c>
      <c r="H12" s="288">
        <f>'6.Cons Profit &amp; Loss'!F43</f>
        <v>184600</v>
      </c>
      <c r="I12" s="288">
        <f>'6.Cons Profit &amp; Loss'!G43</f>
        <v>0</v>
      </c>
      <c r="J12" s="288">
        <f>'6.Cons Profit &amp; Loss'!H43</f>
        <v>0</v>
      </c>
    </row>
    <row r="13" spans="2:12">
      <c r="B13" s="287"/>
      <c r="C13" s="287"/>
      <c r="D13" s="287"/>
      <c r="E13" s="287"/>
      <c r="F13" s="287"/>
      <c r="G13" s="287"/>
      <c r="H13" s="287"/>
      <c r="I13" s="287"/>
      <c r="J13" s="287"/>
    </row>
    <row r="14" spans="2:12">
      <c r="B14" s="287" t="s">
        <v>429</v>
      </c>
      <c r="C14" s="287"/>
      <c r="D14" s="288">
        <f>SUM(D9:D12)</f>
        <v>2601532.3539205911</v>
      </c>
      <c r="E14" s="288">
        <f t="shared" ref="E14:J14" si="0">SUM(E9:E12)</f>
        <v>3132929.1472305423</v>
      </c>
      <c r="F14" s="288">
        <f t="shared" si="0"/>
        <v>3679210.2364731831</v>
      </c>
      <c r="G14" s="288">
        <f t="shared" si="0"/>
        <v>4296071.4570288965</v>
      </c>
      <c r="H14" s="288">
        <f t="shared" si="0"/>
        <v>4983584.7323556663</v>
      </c>
      <c r="I14" s="288">
        <f t="shared" si="0"/>
        <v>5624225.7503691493</v>
      </c>
      <c r="J14" s="288">
        <f t="shared" si="0"/>
        <v>6294491.2732286556</v>
      </c>
    </row>
    <row r="15" spans="2:12">
      <c r="B15" s="287" t="s">
        <v>430</v>
      </c>
      <c r="C15" s="290">
        <f>-'1.Project Cost and MOF'!D12</f>
        <v>-20232327.065956961</v>
      </c>
      <c r="D15" s="288">
        <f>D14</f>
        <v>2601532.3539205911</v>
      </c>
      <c r="E15" s="288">
        <f t="shared" ref="E15:J15" si="1">E14</f>
        <v>3132929.1472305423</v>
      </c>
      <c r="F15" s="288">
        <f t="shared" si="1"/>
        <v>3679210.2364731831</v>
      </c>
      <c r="G15" s="288">
        <f t="shared" si="1"/>
        <v>4296071.4570288965</v>
      </c>
      <c r="H15" s="288">
        <f t="shared" si="1"/>
        <v>4983584.7323556663</v>
      </c>
      <c r="I15" s="288">
        <f t="shared" si="1"/>
        <v>5624225.7503691493</v>
      </c>
      <c r="J15" s="288">
        <f t="shared" si="1"/>
        <v>6294491.2732286556</v>
      </c>
    </row>
    <row r="16" spans="2:12">
      <c r="B16" s="287" t="s">
        <v>431</v>
      </c>
      <c r="C16" s="291">
        <f>IRR(C15:J15)</f>
        <v>9.8959333742137168E-2</v>
      </c>
      <c r="D16" s="288"/>
      <c r="E16" s="288"/>
      <c r="F16" s="288"/>
      <c r="G16" s="288"/>
      <c r="H16" s="288"/>
      <c r="I16" s="288"/>
      <c r="J16" s="288"/>
    </row>
    <row r="17" spans="2:19">
      <c r="B17" s="287"/>
      <c r="C17" s="287"/>
      <c r="D17" s="287"/>
      <c r="E17" s="287"/>
      <c r="F17" s="287"/>
      <c r="G17" s="287"/>
      <c r="H17" s="287"/>
      <c r="I17" s="287"/>
      <c r="J17" s="287"/>
    </row>
    <row r="18" spans="2:19">
      <c r="B18" s="292" t="s">
        <v>432</v>
      </c>
      <c r="C18" s="293"/>
      <c r="D18" s="294">
        <f>1/(1+$C$16)</f>
        <v>0.90995177828358353</v>
      </c>
      <c r="E18" s="295">
        <f t="shared" ref="E18:J18" si="2">D18/(1+$C$16)</f>
        <v>0.82801223880145602</v>
      </c>
      <c r="F18" s="295">
        <f t="shared" si="2"/>
        <v>0.75345120913795616</v>
      </c>
      <c r="G18" s="295">
        <f t="shared" si="2"/>
        <v>0.68560426760499937</v>
      </c>
      <c r="H18" s="295">
        <f t="shared" si="2"/>
        <v>0.62386682250598302</v>
      </c>
      <c r="I18" s="295">
        <f t="shared" si="2"/>
        <v>0.56768872455144803</v>
      </c>
      <c r="J18" s="295">
        <f t="shared" si="2"/>
        <v>0.51656936441712953</v>
      </c>
      <c r="L18" s="296"/>
      <c r="M18" s="296"/>
      <c r="N18" s="296"/>
      <c r="O18" s="296"/>
      <c r="P18" s="296"/>
      <c r="Q18" s="296"/>
      <c r="R18" s="296"/>
      <c r="S18" s="296"/>
    </row>
    <row r="19" spans="2:19">
      <c r="B19" s="287" t="s">
        <v>433</v>
      </c>
      <c r="C19" s="287"/>
      <c r="D19" s="288">
        <f t="shared" ref="D19:J19" si="3">D14*D18</f>
        <v>2367268.9917123187</v>
      </c>
      <c r="E19" s="288">
        <f t="shared" si="3"/>
        <v>2594103.6772046979</v>
      </c>
      <c r="F19" s="288">
        <f t="shared" si="3"/>
        <v>2772105.4013434653</v>
      </c>
      <c r="G19" s="288">
        <f t="shared" si="3"/>
        <v>2945404.9248750391</v>
      </c>
      <c r="H19" s="288">
        <f t="shared" si="3"/>
        <v>3109093.1716640592</v>
      </c>
      <c r="I19" s="288">
        <f t="shared" si="3"/>
        <v>3192809.5428164732</v>
      </c>
      <c r="J19" s="288">
        <f t="shared" si="3"/>
        <v>3251541.3563408949</v>
      </c>
      <c r="L19" s="265"/>
    </row>
    <row r="20" spans="2:19">
      <c r="B20" s="287" t="s">
        <v>434</v>
      </c>
      <c r="C20" s="287"/>
      <c r="D20" s="446">
        <f>SUM(D19:J19)</f>
        <v>20232327.06595695</v>
      </c>
      <c r="E20" s="446"/>
      <c r="F20" s="446"/>
      <c r="G20" s="446"/>
      <c r="H20" s="446"/>
      <c r="I20" s="446"/>
      <c r="J20" s="446"/>
      <c r="L20" s="265"/>
    </row>
    <row r="21" spans="2:19">
      <c r="B21" s="287"/>
      <c r="C21" s="287"/>
      <c r="D21" s="288"/>
      <c r="E21" s="288"/>
      <c r="F21" s="288"/>
      <c r="G21" s="288"/>
      <c r="H21" s="288"/>
      <c r="I21" s="288"/>
      <c r="J21" s="288"/>
    </row>
    <row r="22" spans="2:19">
      <c r="B22" s="297" t="s">
        <v>435</v>
      </c>
      <c r="C22" s="297"/>
      <c r="D22" s="447">
        <f>'1.Project Cost and MOF'!D12</f>
        <v>20232327.065956961</v>
      </c>
      <c r="E22" s="447"/>
      <c r="F22" s="447"/>
      <c r="G22" s="447"/>
      <c r="H22" s="447"/>
      <c r="I22" s="447"/>
      <c r="J22" s="447"/>
    </row>
    <row r="23" spans="2:19">
      <c r="F23" s="296">
        <f>D20-D22</f>
        <v>0</v>
      </c>
    </row>
    <row r="24" spans="2:19" ht="29.45" customHeight="1">
      <c r="B24" s="448" t="s">
        <v>436</v>
      </c>
      <c r="C24" s="448"/>
      <c r="D24" s="448"/>
      <c r="E24" s="448"/>
      <c r="F24" s="448"/>
      <c r="G24" s="448"/>
      <c r="H24" s="448"/>
      <c r="I24" s="448"/>
      <c r="J24" s="448"/>
    </row>
    <row r="25" spans="2:19">
      <c r="K25" s="296"/>
      <c r="L25" s="296"/>
      <c r="M25" s="296"/>
    </row>
    <row r="26" spans="2:19">
      <c r="B26" s="415" t="s">
        <v>437</v>
      </c>
      <c r="C26" s="415"/>
      <c r="D26" s="415"/>
      <c r="E26" s="415"/>
      <c r="F26" s="415"/>
      <c r="G26" s="415"/>
      <c r="H26" s="415"/>
      <c r="I26" s="415"/>
    </row>
    <row r="27" spans="2:19">
      <c r="K27" s="296"/>
    </row>
    <row r="28" spans="2:19">
      <c r="B28" s="298" t="s">
        <v>145</v>
      </c>
      <c r="C28" s="285" t="s">
        <v>148</v>
      </c>
      <c r="D28" s="285" t="s">
        <v>149</v>
      </c>
      <c r="E28" s="285" t="s">
        <v>150</v>
      </c>
      <c r="F28" s="285" t="s">
        <v>151</v>
      </c>
      <c r="G28" s="285" t="s">
        <v>152</v>
      </c>
      <c r="H28" s="285" t="s">
        <v>153</v>
      </c>
      <c r="I28" s="285" t="s">
        <v>154</v>
      </c>
    </row>
    <row r="29" spans="2:19">
      <c r="B29" s="223"/>
      <c r="C29" s="223"/>
      <c r="D29" s="223"/>
      <c r="E29" s="223"/>
      <c r="F29" s="223"/>
      <c r="G29" s="223"/>
      <c r="H29" s="223"/>
      <c r="I29" s="223"/>
    </row>
    <row r="30" spans="2:19">
      <c r="B30" s="223" t="s">
        <v>438</v>
      </c>
      <c r="C30" s="223"/>
      <c r="D30" s="223"/>
      <c r="E30" s="223"/>
      <c r="F30" s="223"/>
      <c r="G30" s="223"/>
      <c r="H30" s="223"/>
      <c r="I30" s="223"/>
    </row>
    <row r="31" spans="2:19">
      <c r="B31" s="223"/>
      <c r="C31" s="230"/>
      <c r="D31" s="230"/>
      <c r="E31" s="230"/>
      <c r="F31" s="230"/>
      <c r="G31" s="230"/>
      <c r="H31" s="230"/>
      <c r="I31" s="230"/>
    </row>
    <row r="32" spans="2:19">
      <c r="B32" s="299" t="str">
        <f>'6.Cons Profit &amp; Loss'!A8</f>
        <v xml:space="preserve">Facility 1 - Trading </v>
      </c>
      <c r="C32" s="230">
        <f>'6.Cons Profit &amp; Loss'!B8</f>
        <v>0</v>
      </c>
      <c r="D32" s="230">
        <f>'6.Cons Profit &amp; Loss'!C8</f>
        <v>0</v>
      </c>
      <c r="E32" s="230">
        <f>'6.Cons Profit &amp; Loss'!D8</f>
        <v>0</v>
      </c>
      <c r="F32" s="230">
        <f>'6.Cons Profit &amp; Loss'!E8</f>
        <v>0</v>
      </c>
      <c r="G32" s="230">
        <f>'6.Cons Profit &amp; Loss'!F8</f>
        <v>0</v>
      </c>
      <c r="H32" s="230">
        <f>'6.Cons Profit &amp; Loss'!G8</f>
        <v>0</v>
      </c>
      <c r="I32" s="230">
        <f>'6.Cons Profit &amp; Loss'!H8</f>
        <v>0</v>
      </c>
    </row>
    <row r="33" spans="2:9">
      <c r="B33" s="299" t="str">
        <f>'6.Cons Profit &amp; Loss'!A9</f>
        <v>Facility 2 - Processing Unit- Rice Mill</v>
      </c>
      <c r="C33" s="230">
        <f>'6.Cons Profit &amp; Loss'!B9</f>
        <v>0</v>
      </c>
      <c r="D33" s="230">
        <f>'6.Cons Profit &amp; Loss'!C9</f>
        <v>0</v>
      </c>
      <c r="E33" s="230">
        <f>'6.Cons Profit &amp; Loss'!D9</f>
        <v>0</v>
      </c>
      <c r="F33" s="230">
        <f>'6.Cons Profit &amp; Loss'!E9</f>
        <v>0</v>
      </c>
      <c r="G33" s="230">
        <f>'6.Cons Profit &amp; Loss'!F9</f>
        <v>0</v>
      </c>
      <c r="H33" s="230">
        <f>'6.Cons Profit &amp; Loss'!G9</f>
        <v>0</v>
      </c>
      <c r="I33" s="230">
        <f>'6.Cons Profit &amp; Loss'!H9</f>
        <v>0</v>
      </c>
    </row>
    <row r="34" spans="2:9">
      <c r="B34" s="299" t="str">
        <f>'6.Cons Profit &amp; Loss'!A10</f>
        <v>Facility 3 - Warehouse</v>
      </c>
      <c r="C34" s="230">
        <f>'6.Cons Profit &amp; Loss'!B10</f>
        <v>0</v>
      </c>
      <c r="D34" s="230">
        <f>'6.Cons Profit &amp; Loss'!C10</f>
        <v>0</v>
      </c>
      <c r="E34" s="230">
        <f>'6.Cons Profit &amp; Loss'!D10</f>
        <v>0</v>
      </c>
      <c r="F34" s="230">
        <f>'6.Cons Profit &amp; Loss'!E10</f>
        <v>0</v>
      </c>
      <c r="G34" s="230">
        <f>'6.Cons Profit &amp; Loss'!F10</f>
        <v>0</v>
      </c>
      <c r="H34" s="230">
        <f>'6.Cons Profit &amp; Loss'!G10</f>
        <v>0</v>
      </c>
      <c r="I34" s="230">
        <f>'6.Cons Profit &amp; Loss'!H10</f>
        <v>0</v>
      </c>
    </row>
    <row r="35" spans="2:9">
      <c r="B35" s="299" t="str">
        <f>'6.Cons Profit &amp; Loss'!A11</f>
        <v xml:space="preserve">Facility 4 - Custom Hiring </v>
      </c>
      <c r="C35" s="230">
        <f>'6.Cons Profit &amp; Loss'!B11</f>
        <v>0</v>
      </c>
      <c r="D35" s="230">
        <f>'6.Cons Profit &amp; Loss'!C11</f>
        <v>0</v>
      </c>
      <c r="E35" s="230">
        <f>'6.Cons Profit &amp; Loss'!D11</f>
        <v>0</v>
      </c>
      <c r="F35" s="230">
        <f>'6.Cons Profit &amp; Loss'!E11</f>
        <v>0</v>
      </c>
      <c r="G35" s="230">
        <f>'6.Cons Profit &amp; Loss'!F11</f>
        <v>0</v>
      </c>
      <c r="H35" s="230">
        <f>'6.Cons Profit &amp; Loss'!G11</f>
        <v>0</v>
      </c>
      <c r="I35" s="230">
        <f>'6.Cons Profit &amp; Loss'!H11</f>
        <v>0</v>
      </c>
    </row>
    <row r="36" spans="2:9">
      <c r="B36" s="299" t="str">
        <f>'6.Cons Profit &amp; Loss'!A12</f>
        <v>Facility 5 - Agri Input Centre</v>
      </c>
      <c r="C36" s="230">
        <f>'6.Cons Profit &amp; Loss'!B12</f>
        <v>0</v>
      </c>
      <c r="D36" s="230">
        <f>'6.Cons Profit &amp; Loss'!C12</f>
        <v>0</v>
      </c>
      <c r="E36" s="230">
        <f>'6.Cons Profit &amp; Loss'!D12</f>
        <v>0</v>
      </c>
      <c r="F36" s="230">
        <f>'6.Cons Profit &amp; Loss'!E12</f>
        <v>0</v>
      </c>
      <c r="G36" s="230">
        <f>'6.Cons Profit &amp; Loss'!F12</f>
        <v>0</v>
      </c>
      <c r="H36" s="230">
        <f>'6.Cons Profit &amp; Loss'!G12</f>
        <v>0</v>
      </c>
      <c r="I36" s="230">
        <f>'6.Cons Profit &amp; Loss'!H12</f>
        <v>0</v>
      </c>
    </row>
    <row r="37" spans="2:9">
      <c r="B37" s="299" t="str">
        <f>'6.Cons Profit &amp; Loss'!A13</f>
        <v>Facility 1 - Processing Unit - Horti Commodity</v>
      </c>
      <c r="C37" s="230">
        <f>'6.Cons Profit &amp; Loss'!B13</f>
        <v>57809754.381456003</v>
      </c>
      <c r="D37" s="230">
        <f>'6.Cons Profit &amp; Loss'!C13</f>
        <v>66309176.498657413</v>
      </c>
      <c r="E37" s="230">
        <f>'6.Cons Profit &amp; Loss'!D13</f>
        <v>74984082.335239798</v>
      </c>
      <c r="F37" s="230">
        <f>'6.Cons Profit &amp; Loss'!E13</f>
        <v>84360705.81423375</v>
      </c>
      <c r="G37" s="230">
        <f>'6.Cons Profit &amp; Loss'!F13</f>
        <v>94487531.43528904</v>
      </c>
      <c r="H37" s="230">
        <f>'6.Cons Profit &amp; Loss'!G13</f>
        <v>105416137.85391426</v>
      </c>
      <c r="I37" s="230">
        <f>'6.Cons Profit &amp; Loss'!H13</f>
        <v>117201386.08581376</v>
      </c>
    </row>
    <row r="38" spans="2:9">
      <c r="B38" s="299"/>
      <c r="C38" s="299"/>
      <c r="D38" s="299"/>
      <c r="E38" s="299"/>
      <c r="F38" s="299"/>
      <c r="G38" s="299"/>
      <c r="H38" s="299"/>
      <c r="I38" s="299"/>
    </row>
    <row r="39" spans="2:9">
      <c r="B39" s="223" t="s">
        <v>439</v>
      </c>
      <c r="C39" s="230">
        <f>SUM(C32:C38)</f>
        <v>57809754.381456003</v>
      </c>
      <c r="D39" s="230">
        <f t="shared" ref="D39:I39" si="4">SUM(D32:D38)</f>
        <v>66309176.498657413</v>
      </c>
      <c r="E39" s="230">
        <f t="shared" si="4"/>
        <v>74984082.335239798</v>
      </c>
      <c r="F39" s="230">
        <f t="shared" si="4"/>
        <v>84360705.81423375</v>
      </c>
      <c r="G39" s="230">
        <f t="shared" si="4"/>
        <v>94487531.43528904</v>
      </c>
      <c r="H39" s="230">
        <f t="shared" si="4"/>
        <v>105416137.85391426</v>
      </c>
      <c r="I39" s="230">
        <f t="shared" si="4"/>
        <v>117201386.08581376</v>
      </c>
    </row>
    <row r="40" spans="2:9">
      <c r="B40" s="223"/>
      <c r="C40" s="230"/>
      <c r="D40" s="230"/>
      <c r="E40" s="230"/>
      <c r="F40" s="230"/>
      <c r="G40" s="230"/>
      <c r="H40" s="230"/>
      <c r="I40" s="230"/>
    </row>
    <row r="41" spans="2:9">
      <c r="B41" s="223" t="s">
        <v>440</v>
      </c>
      <c r="C41" s="230">
        <f>'6.Cons Profit &amp; Loss'!B25</f>
        <v>52371526.612204805</v>
      </c>
      <c r="D41" s="230">
        <f>'6.Cons Profit &amp; Loss'!C25</f>
        <v>60095330.226938181</v>
      </c>
      <c r="E41" s="230">
        <f>'6.Cons Profit &amp; Loss'!D25</f>
        <v>67957468.632517487</v>
      </c>
      <c r="F41" s="230">
        <f>'6.Cons Profit &amp; Loss'!E25</f>
        <v>76455582.553087354</v>
      </c>
      <c r="G41" s="230">
        <f>'6.Cons Profit &amp; Loss'!F25</f>
        <v>85633614.194132969</v>
      </c>
      <c r="H41" s="230">
        <f>'6.Cons Profit &amp; Loss'!G25</f>
        <v>95538310.042900383</v>
      </c>
      <c r="I41" s="230">
        <f>'6.Cons Profit &amp; Loss'!H25</f>
        <v>106219391.44105925</v>
      </c>
    </row>
    <row r="42" spans="2:9">
      <c r="B42" s="223"/>
      <c r="C42" s="230"/>
      <c r="D42" s="230"/>
      <c r="E42" s="230"/>
      <c r="F42" s="230"/>
      <c r="G42" s="230"/>
      <c r="H42" s="230"/>
      <c r="I42" s="230"/>
    </row>
    <row r="43" spans="2:9">
      <c r="B43" s="234" t="s">
        <v>441</v>
      </c>
      <c r="C43" s="236">
        <f>C39-C41-13^5.5</f>
        <v>4099511.8195303474</v>
      </c>
      <c r="D43" s="236">
        <f t="shared" ref="D43:I43" si="5">D39-D41-13^5.5</f>
        <v>4875130.321998382</v>
      </c>
      <c r="E43" s="236">
        <f t="shared" si="5"/>
        <v>5687897.7530014608</v>
      </c>
      <c r="F43" s="236">
        <f t="shared" si="5"/>
        <v>6566407.3114255462</v>
      </c>
      <c r="G43" s="236">
        <f t="shared" si="5"/>
        <v>7515201.2914352212</v>
      </c>
      <c r="H43" s="236">
        <f t="shared" si="5"/>
        <v>8539111.8612930272</v>
      </c>
      <c r="I43" s="236">
        <f t="shared" si="5"/>
        <v>9643278.6950336639</v>
      </c>
    </row>
    <row r="44" spans="2:9">
      <c r="B44" s="223"/>
      <c r="C44" s="230"/>
      <c r="D44" s="230"/>
      <c r="E44" s="230"/>
      <c r="F44" s="230"/>
      <c r="G44" s="230"/>
      <c r="H44" s="230"/>
      <c r="I44" s="230"/>
    </row>
    <row r="45" spans="2:9">
      <c r="B45" s="234" t="s">
        <v>442</v>
      </c>
      <c r="C45" s="236">
        <f>'6.Cons Profit &amp; Loss'!B36+'6.Cons Profit &amp; Loss'!B42+'6.Cons Profit &amp; Loss'!B43</f>
        <v>3111015.6404999997</v>
      </c>
      <c r="D45" s="236">
        <f>'6.Cons Profit &amp; Loss'!C36+'6.Cons Profit &amp; Loss'!C42+'6.Cons Profit &amp; Loss'!C43</f>
        <v>3183035.3310000002</v>
      </c>
      <c r="E45" s="236">
        <f>'6.Cons Profit &amp; Loss'!D36+'6.Cons Profit &amp; Loss'!D42+'6.Cons Profit &amp; Loss'!D43</f>
        <v>3259200.0214999998</v>
      </c>
      <c r="F45" s="236">
        <f>'6.Cons Profit &amp; Loss'!E36+'6.Cons Profit &amp; Loss'!E42+'6.Cons Profit &amp; Loss'!E43</f>
        <v>3339716.9620000003</v>
      </c>
      <c r="G45" s="236">
        <f>'6.Cons Profit &amp; Loss'!F36+'6.Cons Profit &amp; Loss'!F42+'6.Cons Profit &amp; Loss'!F43</f>
        <v>3424803.7650000006</v>
      </c>
      <c r="H45" s="236">
        <f>'6.Cons Profit &amp; Loss'!G36+'6.Cons Profit &amp; Loss'!G42+'6.Cons Profit &amp; Loss'!G43</f>
        <v>3330088.9236250008</v>
      </c>
      <c r="I45" s="236">
        <f>'6.Cons Profit &amp; Loss'!H36+'6.Cons Profit &amp; Loss'!H42+'6.Cons Profit &amp; Loss'!H43</f>
        <v>3425012.3556562504</v>
      </c>
    </row>
    <row r="46" spans="2:9">
      <c r="B46" s="223"/>
      <c r="C46" s="223"/>
      <c r="D46" s="223"/>
      <c r="E46" s="223"/>
      <c r="F46" s="223"/>
      <c r="G46" s="223"/>
      <c r="H46" s="223"/>
      <c r="I46" s="223"/>
    </row>
    <row r="47" spans="2:9">
      <c r="B47" s="223" t="s">
        <v>443</v>
      </c>
      <c r="C47" s="248">
        <f>C45/C43</f>
        <v>0.75887466055809716</v>
      </c>
      <c r="D47" s="248">
        <f>D45/D43</f>
        <v>0.6529128701723057</v>
      </c>
      <c r="E47" s="248">
        <f>E45/E43</f>
        <v>0.57300608467867487</v>
      </c>
      <c r="F47" s="248">
        <f>F45/F43</f>
        <v>0.50860642716891691</v>
      </c>
      <c r="G47" s="248">
        <f>G45/G43</f>
        <v>0.45571683740568791</v>
      </c>
      <c r="H47" s="248">
        <f t="shared" ref="H47:I47" si="6">H45/H43</f>
        <v>0.38998071201291712</v>
      </c>
      <c r="I47" s="248">
        <f t="shared" si="6"/>
        <v>0.35517093967429858</v>
      </c>
    </row>
    <row r="49" spans="2:10">
      <c r="B49" s="226" t="s">
        <v>444</v>
      </c>
      <c r="C49" s="300">
        <f>AVERAGE(C47:I47)</f>
        <v>0.52775264738155692</v>
      </c>
    </row>
    <row r="51" spans="2:10" ht="41.45" customHeight="1">
      <c r="B51" s="449" t="s">
        <v>445</v>
      </c>
      <c r="C51" s="449"/>
      <c r="D51" s="449"/>
      <c r="E51" s="449"/>
      <c r="F51" s="449"/>
      <c r="G51" s="449"/>
      <c r="H51" s="449"/>
      <c r="I51" s="449"/>
      <c r="J51" s="449"/>
    </row>
    <row r="54" spans="2:10">
      <c r="B54" s="415" t="s">
        <v>446</v>
      </c>
      <c r="C54" s="415"/>
      <c r="D54" s="415"/>
      <c r="E54" s="415"/>
      <c r="F54" s="415"/>
      <c r="G54" s="415"/>
      <c r="H54" s="415"/>
      <c r="I54" s="415"/>
    </row>
    <row r="56" spans="2:10">
      <c r="B56" s="184" t="s">
        <v>425</v>
      </c>
      <c r="C56" s="185" t="s">
        <v>148</v>
      </c>
      <c r="D56" s="185" t="s">
        <v>149</v>
      </c>
      <c r="E56" s="185" t="s">
        <v>150</v>
      </c>
      <c r="F56" s="185" t="s">
        <v>151</v>
      </c>
      <c r="G56" s="185" t="s">
        <v>152</v>
      </c>
      <c r="H56" s="185" t="s">
        <v>153</v>
      </c>
      <c r="I56" s="185" t="s">
        <v>154</v>
      </c>
    </row>
    <row r="57" spans="2:10">
      <c r="B57" s="223"/>
      <c r="C57" s="223"/>
      <c r="D57" s="223"/>
      <c r="E57" s="223"/>
      <c r="F57" s="223"/>
      <c r="G57" s="223"/>
      <c r="H57" s="223"/>
      <c r="I57" s="223"/>
    </row>
    <row r="58" spans="2:10">
      <c r="B58" s="223" t="s">
        <v>447</v>
      </c>
      <c r="C58" s="301">
        <f>'6.Cons Profit &amp; Loss'!B51</f>
        <v>1328901.4039205913</v>
      </c>
      <c r="D58" s="301">
        <f>'6.Cons Profit &amp; Loss'!C51</f>
        <v>1860298.1972305421</v>
      </c>
      <c r="E58" s="301">
        <f>'6.Cons Profit &amp; Loss'!D51</f>
        <v>2406579.286473183</v>
      </c>
      <c r="F58" s="301">
        <f>'6.Cons Profit &amp; Loss'!E51</f>
        <v>3023440.5070288964</v>
      </c>
      <c r="G58" s="301">
        <f>'6.Cons Profit &amp; Loss'!F51</f>
        <v>3710953.7823556666</v>
      </c>
      <c r="H58" s="301">
        <f>'6.Cons Profit &amp; Loss'!G51</f>
        <v>4536194.8003691491</v>
      </c>
      <c r="I58" s="301">
        <f>'6.Cons Profit &amp; Loss'!H51</f>
        <v>5206460.3232286554</v>
      </c>
    </row>
    <row r="59" spans="2:10">
      <c r="B59" s="223"/>
      <c r="C59" s="301"/>
      <c r="D59" s="301"/>
      <c r="E59" s="301"/>
      <c r="F59" s="301"/>
      <c r="G59" s="301"/>
      <c r="H59" s="301"/>
      <c r="I59" s="301"/>
    </row>
    <row r="60" spans="2:10">
      <c r="B60" s="223" t="s">
        <v>448</v>
      </c>
      <c r="C60" s="301">
        <f>'6.Cons Profit &amp; Loss'!B42</f>
        <v>1088030.95</v>
      </c>
      <c r="D60" s="301">
        <f>'6.Cons Profit &amp; Loss'!C42</f>
        <v>1088030.95</v>
      </c>
      <c r="E60" s="301">
        <f>'6.Cons Profit &amp; Loss'!D42</f>
        <v>1088030.95</v>
      </c>
      <c r="F60" s="301">
        <f>'6.Cons Profit &amp; Loss'!E42</f>
        <v>1088030.95</v>
      </c>
      <c r="G60" s="301">
        <f>'6.Cons Profit &amp; Loss'!F42</f>
        <v>1088030.95</v>
      </c>
      <c r="H60" s="301">
        <f>'6.Cons Profit &amp; Loss'!G42</f>
        <v>1088030.95</v>
      </c>
      <c r="I60" s="301">
        <f>'6.Cons Profit &amp; Loss'!H42</f>
        <v>1088030.95</v>
      </c>
    </row>
    <row r="61" spans="2:10">
      <c r="B61" s="216" t="s">
        <v>449</v>
      </c>
      <c r="C61" s="301">
        <f>'6.Cons Profit &amp; Loss'!B43</f>
        <v>184600</v>
      </c>
      <c r="D61" s="301">
        <f>'6.Cons Profit &amp; Loss'!C43</f>
        <v>184600</v>
      </c>
      <c r="E61" s="301">
        <f>'6.Cons Profit &amp; Loss'!D43</f>
        <v>184600</v>
      </c>
      <c r="F61" s="301">
        <f>'6.Cons Profit &amp; Loss'!E43</f>
        <v>184600</v>
      </c>
      <c r="G61" s="301">
        <f>'6.Cons Profit &amp; Loss'!F43</f>
        <v>184600</v>
      </c>
      <c r="H61" s="301">
        <f>'6.Cons Profit &amp; Loss'!G43</f>
        <v>0</v>
      </c>
      <c r="I61" s="301">
        <f>'6.Cons Profit &amp; Loss'!H43</f>
        <v>0</v>
      </c>
    </row>
    <row r="62" spans="2:10">
      <c r="B62" s="223"/>
      <c r="C62" s="301"/>
      <c r="D62" s="301"/>
      <c r="E62" s="301"/>
      <c r="F62" s="301"/>
      <c r="G62" s="301"/>
      <c r="H62" s="301"/>
      <c r="I62" s="301"/>
    </row>
    <row r="63" spans="2:10">
      <c r="B63" s="223" t="s">
        <v>429</v>
      </c>
      <c r="C63" s="301">
        <f>SUM(C58:C61)</f>
        <v>2601532.3539205911</v>
      </c>
      <c r="D63" s="301">
        <f t="shared" ref="D63:I63" si="7">SUM(D58:D61)</f>
        <v>3132929.1472305423</v>
      </c>
      <c r="E63" s="301">
        <f t="shared" si="7"/>
        <v>3679210.2364731831</v>
      </c>
      <c r="F63" s="301">
        <f t="shared" si="7"/>
        <v>4296071.4570288965</v>
      </c>
      <c r="G63" s="301">
        <f t="shared" si="7"/>
        <v>4983584.7323556663</v>
      </c>
      <c r="H63" s="301">
        <f t="shared" si="7"/>
        <v>5624225.7503691493</v>
      </c>
      <c r="I63" s="301">
        <f t="shared" si="7"/>
        <v>6294491.2732286556</v>
      </c>
    </row>
    <row r="64" spans="2:10">
      <c r="B64" s="223"/>
      <c r="C64" s="223"/>
      <c r="D64" s="223"/>
      <c r="E64" s="223"/>
      <c r="F64" s="223"/>
      <c r="G64" s="223"/>
      <c r="H64" s="223"/>
      <c r="I64" s="223"/>
    </row>
    <row r="65" spans="2:10">
      <c r="B65" s="302" t="s">
        <v>450</v>
      </c>
      <c r="C65" s="299">
        <f>1/1.1</f>
        <v>0.90909090909090906</v>
      </c>
      <c r="D65" s="299">
        <f t="shared" ref="D65:I65" si="8">C65/1.1</f>
        <v>0.82644628099173545</v>
      </c>
      <c r="E65" s="299">
        <f t="shared" si="8"/>
        <v>0.75131480090157765</v>
      </c>
      <c r="F65" s="299">
        <f t="shared" si="8"/>
        <v>0.68301345536507052</v>
      </c>
      <c r="G65" s="299">
        <f t="shared" si="8"/>
        <v>0.62092132305915493</v>
      </c>
      <c r="H65" s="299">
        <f t="shared" si="8"/>
        <v>0.56447393005377711</v>
      </c>
      <c r="I65" s="299">
        <f t="shared" si="8"/>
        <v>0.51315811823070645</v>
      </c>
    </row>
    <row r="66" spans="2:10">
      <c r="B66" s="223"/>
      <c r="C66" s="223"/>
      <c r="D66" s="223"/>
      <c r="E66" s="223"/>
      <c r="F66" s="223"/>
      <c r="G66" s="223"/>
      <c r="H66" s="223"/>
      <c r="I66" s="223"/>
    </row>
    <row r="67" spans="2:10">
      <c r="B67" s="302" t="s">
        <v>451</v>
      </c>
      <c r="C67" s="230">
        <f>C63*C65</f>
        <v>2365029.4126550825</v>
      </c>
      <c r="D67" s="230">
        <f t="shared" ref="D67:I67" si="9">D63*D65</f>
        <v>2589197.6423392911</v>
      </c>
      <c r="E67" s="230">
        <f t="shared" si="9"/>
        <v>2764245.106290896</v>
      </c>
      <c r="F67" s="230">
        <f t="shared" si="9"/>
        <v>2934274.6103605595</v>
      </c>
      <c r="G67" s="230">
        <f t="shared" si="9"/>
        <v>3094414.025591685</v>
      </c>
      <c r="H67" s="230">
        <f t="shared" si="9"/>
        <v>3174728.8128205272</v>
      </c>
      <c r="I67" s="230">
        <f t="shared" si="9"/>
        <v>3230069.2969896202</v>
      </c>
    </row>
    <row r="68" spans="2:10">
      <c r="C68" s="303"/>
      <c r="D68" s="303"/>
      <c r="E68" s="303"/>
      <c r="F68" s="303"/>
      <c r="G68" s="303"/>
      <c r="H68" s="303"/>
      <c r="I68" s="303"/>
    </row>
    <row r="69" spans="2:10">
      <c r="B69" s="304" t="s">
        <v>452</v>
      </c>
      <c r="C69" s="303">
        <f>SUM(C67:I67)</f>
        <v>20151958.907047659</v>
      </c>
      <c r="D69" s="303"/>
      <c r="E69" s="303"/>
      <c r="F69" s="303"/>
      <c r="G69" s="303"/>
      <c r="H69" s="303"/>
      <c r="I69" s="303"/>
    </row>
    <row r="70" spans="2:10">
      <c r="C70" s="303"/>
      <c r="D70" s="303"/>
      <c r="E70" s="303"/>
      <c r="F70" s="303"/>
      <c r="G70" s="303"/>
      <c r="H70" s="303"/>
      <c r="I70" s="303"/>
    </row>
    <row r="71" spans="2:10">
      <c r="B71" s="304" t="s">
        <v>453</v>
      </c>
      <c r="C71" s="303">
        <f>'1.Project Cost and MOF'!D12</f>
        <v>20232327.065956961</v>
      </c>
      <c r="D71" s="303"/>
      <c r="E71" s="303"/>
      <c r="F71" s="303"/>
      <c r="G71" s="303"/>
      <c r="H71" s="303"/>
      <c r="I71" s="303"/>
    </row>
    <row r="72" spans="2:10">
      <c r="C72" s="305"/>
    </row>
    <row r="73" spans="2:10">
      <c r="B73" s="304" t="s">
        <v>454</v>
      </c>
      <c r="C73" s="305">
        <f>C69-C71</f>
        <v>-80368.158909302205</v>
      </c>
    </row>
    <row r="75" spans="2:10" ht="35.1" customHeight="1">
      <c r="B75" s="423" t="s">
        <v>455</v>
      </c>
      <c r="C75" s="423"/>
      <c r="D75" s="423"/>
      <c r="E75" s="423"/>
      <c r="F75" s="423"/>
      <c r="G75" s="423"/>
      <c r="H75" s="423"/>
      <c r="I75" s="423"/>
      <c r="J75" s="423"/>
    </row>
    <row r="76" spans="2:10">
      <c r="B76" s="415" t="s">
        <v>456</v>
      </c>
      <c r="C76" s="415"/>
      <c r="D76" s="415"/>
      <c r="E76" s="415"/>
      <c r="F76" s="415"/>
      <c r="G76" s="415"/>
      <c r="H76" s="415"/>
      <c r="I76" s="415"/>
    </row>
    <row r="78" spans="2:10">
      <c r="B78" s="185" t="s">
        <v>145</v>
      </c>
      <c r="C78" s="185" t="s">
        <v>148</v>
      </c>
      <c r="D78" s="185" t="s">
        <v>149</v>
      </c>
      <c r="E78" s="185" t="s">
        <v>150</v>
      </c>
      <c r="F78" s="185" t="s">
        <v>151</v>
      </c>
      <c r="G78" s="185" t="s">
        <v>152</v>
      </c>
      <c r="H78" s="185" t="s">
        <v>153</v>
      </c>
      <c r="I78" s="185" t="s">
        <v>154</v>
      </c>
    </row>
    <row r="79" spans="2:10">
      <c r="B79" s="306"/>
      <c r="C79" s="307"/>
      <c r="D79" s="307"/>
      <c r="E79" s="307"/>
      <c r="F79" s="307"/>
      <c r="G79" s="307"/>
      <c r="H79" s="307"/>
      <c r="I79" s="307"/>
    </row>
    <row r="80" spans="2:10">
      <c r="B80" s="234" t="s">
        <v>457</v>
      </c>
      <c r="C80" s="230">
        <f>'6.Cons Profit &amp; Loss'!B51</f>
        <v>1328901.4039205913</v>
      </c>
      <c r="D80" s="230">
        <f>'6.Cons Profit &amp; Loss'!C51</f>
        <v>1860298.1972305421</v>
      </c>
      <c r="E80" s="230">
        <f>'6.Cons Profit &amp; Loss'!D51</f>
        <v>2406579.286473183</v>
      </c>
      <c r="F80" s="230">
        <f>'6.Cons Profit &amp; Loss'!E51</f>
        <v>3023440.5070288964</v>
      </c>
      <c r="G80" s="230">
        <f>'6.Cons Profit &amp; Loss'!F51</f>
        <v>3710953.7823556666</v>
      </c>
      <c r="H80" s="230">
        <f>'6.Cons Profit &amp; Loss'!G51</f>
        <v>4536194.8003691491</v>
      </c>
      <c r="I80" s="230">
        <f>'6.Cons Profit &amp; Loss'!H51</f>
        <v>5206460.3232286554</v>
      </c>
    </row>
    <row r="81" spans="2:10">
      <c r="B81" s="223"/>
      <c r="C81" s="223"/>
      <c r="D81" s="223"/>
      <c r="E81" s="223"/>
      <c r="F81" s="223"/>
      <c r="G81" s="223"/>
      <c r="H81" s="223"/>
      <c r="I81" s="223"/>
    </row>
    <row r="82" spans="2:10">
      <c r="B82" s="234" t="s">
        <v>458</v>
      </c>
      <c r="C82" s="450">
        <f>AVERAGE(C80:I80)</f>
        <v>3153261.1858009547</v>
      </c>
      <c r="D82" s="450"/>
      <c r="E82" s="450"/>
      <c r="F82" s="450"/>
      <c r="G82" s="450"/>
      <c r="H82" s="450"/>
      <c r="I82" s="450"/>
    </row>
    <row r="83" spans="2:10">
      <c r="B83" s="234" t="s">
        <v>459</v>
      </c>
      <c r="C83" s="450">
        <f>'1.Project Cost and MOF'!D12</f>
        <v>20232327.065956961</v>
      </c>
      <c r="D83" s="450"/>
      <c r="E83" s="450"/>
      <c r="F83" s="450"/>
      <c r="G83" s="450"/>
      <c r="H83" s="450"/>
      <c r="I83" s="450"/>
    </row>
    <row r="84" spans="2:10">
      <c r="B84" s="223"/>
      <c r="C84" s="223"/>
      <c r="D84" s="223"/>
      <c r="E84" s="223"/>
      <c r="F84" s="223"/>
      <c r="G84" s="223"/>
      <c r="H84" s="223"/>
      <c r="I84" s="223"/>
    </row>
    <row r="85" spans="2:10">
      <c r="B85" s="139" t="s">
        <v>460</v>
      </c>
      <c r="C85" s="451">
        <f>C82/C83</f>
        <v>0.15585262019150786</v>
      </c>
      <c r="D85" s="451"/>
      <c r="E85" s="451"/>
      <c r="F85" s="451"/>
      <c r="G85" s="451"/>
      <c r="H85" s="451"/>
      <c r="I85" s="451"/>
    </row>
    <row r="88" spans="2:10">
      <c r="B88" s="452" t="s">
        <v>461</v>
      </c>
      <c r="C88" s="452"/>
      <c r="D88" s="452"/>
      <c r="E88" s="452"/>
      <c r="F88" s="452"/>
      <c r="G88" s="452"/>
      <c r="H88" s="452"/>
      <c r="I88" s="452"/>
    </row>
    <row r="90" spans="2:10">
      <c r="B90" s="415" t="s">
        <v>462</v>
      </c>
      <c r="C90" s="415"/>
      <c r="D90" s="415"/>
      <c r="E90" s="415"/>
      <c r="F90" s="415"/>
      <c r="G90" s="415"/>
      <c r="H90" s="415"/>
      <c r="I90" s="415"/>
      <c r="J90" s="415"/>
    </row>
    <row r="92" spans="2:10">
      <c r="B92" s="285" t="s">
        <v>145</v>
      </c>
      <c r="C92" s="285" t="s">
        <v>426</v>
      </c>
      <c r="D92" s="285" t="s">
        <v>148</v>
      </c>
      <c r="E92" s="285" t="s">
        <v>149</v>
      </c>
      <c r="F92" s="285" t="s">
        <v>150</v>
      </c>
      <c r="G92" s="285" t="s">
        <v>151</v>
      </c>
      <c r="H92" s="285" t="s">
        <v>152</v>
      </c>
      <c r="I92" s="285" t="s">
        <v>153</v>
      </c>
      <c r="J92" s="285" t="s">
        <v>154</v>
      </c>
    </row>
    <row r="93" spans="2:10">
      <c r="B93" s="306"/>
      <c r="C93" s="306"/>
      <c r="D93" s="307"/>
      <c r="E93" s="307"/>
      <c r="F93" s="307"/>
      <c r="G93" s="307"/>
      <c r="H93" s="307"/>
      <c r="I93" s="307"/>
      <c r="J93" s="307"/>
    </row>
    <row r="94" spans="2:10">
      <c r="B94" s="232" t="s">
        <v>463</v>
      </c>
      <c r="C94" s="308">
        <f>'1.Project Cost and MOF'!D12</f>
        <v>20232327.065956961</v>
      </c>
      <c r="D94" s="307"/>
      <c r="E94" s="307"/>
      <c r="F94" s="307"/>
      <c r="G94" s="307"/>
      <c r="H94" s="307"/>
      <c r="I94" s="307"/>
      <c r="J94" s="307"/>
    </row>
    <row r="95" spans="2:10">
      <c r="B95" s="223" t="str">
        <f>B58</f>
        <v>Profit after Tax &amp; Dividend</v>
      </c>
      <c r="C95" s="223"/>
      <c r="D95" s="230">
        <f>'6.Cons Profit &amp; Loss'!B51</f>
        <v>1328901.4039205913</v>
      </c>
      <c r="E95" s="230">
        <f>'6.Cons Profit &amp; Loss'!C51</f>
        <v>1860298.1972305421</v>
      </c>
      <c r="F95" s="230">
        <f>'6.Cons Profit &amp; Loss'!D51</f>
        <v>2406579.286473183</v>
      </c>
      <c r="G95" s="230">
        <f>'6.Cons Profit &amp; Loss'!E51</f>
        <v>3023440.5070288964</v>
      </c>
      <c r="H95" s="230">
        <f>'6.Cons Profit &amp; Loss'!F51</f>
        <v>3710953.7823556666</v>
      </c>
      <c r="I95" s="230">
        <f>'6.Cons Profit &amp; Loss'!G51</f>
        <v>4536194.8003691491</v>
      </c>
      <c r="J95" s="230">
        <f>'6.Cons Profit &amp; Loss'!H51</f>
        <v>5206460.3232286554</v>
      </c>
    </row>
    <row r="96" spans="2:10">
      <c r="B96" s="223" t="str">
        <f>B60</f>
        <v>Add: Deprication</v>
      </c>
      <c r="C96" s="223"/>
      <c r="D96" s="230">
        <f>'6.Cons Profit &amp; Loss'!B42</f>
        <v>1088030.95</v>
      </c>
      <c r="E96" s="230">
        <f>'6.Cons Profit &amp; Loss'!C42</f>
        <v>1088030.95</v>
      </c>
      <c r="F96" s="230">
        <f>'6.Cons Profit &amp; Loss'!D42</f>
        <v>1088030.95</v>
      </c>
      <c r="G96" s="230">
        <f>'6.Cons Profit &amp; Loss'!E42</f>
        <v>1088030.95</v>
      </c>
      <c r="H96" s="230">
        <f>'6.Cons Profit &amp; Loss'!F42</f>
        <v>1088030.95</v>
      </c>
      <c r="I96" s="230">
        <f>'6.Cons Profit &amp; Loss'!G42</f>
        <v>1088030.95</v>
      </c>
      <c r="J96" s="230">
        <f>'6.Cons Profit &amp; Loss'!H42</f>
        <v>1088030.95</v>
      </c>
    </row>
    <row r="97" spans="2:10">
      <c r="B97" s="223" t="str">
        <f>B61</f>
        <v>Add. Preliminary exp Written off</v>
      </c>
      <c r="C97" s="223"/>
      <c r="D97" s="230">
        <f>'6.Cons Profit &amp; Loss'!B43</f>
        <v>184600</v>
      </c>
      <c r="E97" s="230">
        <f>'6.Cons Profit &amp; Loss'!C43</f>
        <v>184600</v>
      </c>
      <c r="F97" s="230">
        <f>'6.Cons Profit &amp; Loss'!D43</f>
        <v>184600</v>
      </c>
      <c r="G97" s="230">
        <f>'6.Cons Profit &amp; Loss'!E43</f>
        <v>184600</v>
      </c>
      <c r="H97" s="230">
        <f>'6.Cons Profit &amp; Loss'!F43</f>
        <v>184600</v>
      </c>
      <c r="I97" s="230">
        <f>'6.Cons Profit &amp; Loss'!G43</f>
        <v>0</v>
      </c>
      <c r="J97" s="230">
        <f>'6.Cons Profit &amp; Loss'!H43</f>
        <v>0</v>
      </c>
    </row>
    <row r="98" spans="2:10">
      <c r="B98" s="223" t="str">
        <f>B63</f>
        <v xml:space="preserve">Net Cash Accrual (A)      </v>
      </c>
      <c r="C98" s="223"/>
      <c r="D98" s="222">
        <f>SUM(D95:D97)</f>
        <v>2601532.3539205911</v>
      </c>
      <c r="E98" s="222">
        <f t="shared" ref="E98:J98" si="10">SUM(E95:E97)</f>
        <v>3132929.1472305423</v>
      </c>
      <c r="F98" s="222">
        <f t="shared" si="10"/>
        <v>3679210.2364731831</v>
      </c>
      <c r="G98" s="222">
        <f t="shared" si="10"/>
        <v>4296071.4570288965</v>
      </c>
      <c r="H98" s="222">
        <f t="shared" si="10"/>
        <v>4983584.7323556663</v>
      </c>
      <c r="I98" s="222">
        <f t="shared" si="10"/>
        <v>5624225.7503691493</v>
      </c>
      <c r="J98" s="222">
        <f t="shared" si="10"/>
        <v>6294491.2732286556</v>
      </c>
    </row>
    <row r="99" spans="2:10">
      <c r="B99" s="232" t="s">
        <v>464</v>
      </c>
      <c r="C99" s="137"/>
      <c r="D99" s="236">
        <f>D98-C94</f>
        <v>-17630794.712036371</v>
      </c>
      <c r="E99" s="236">
        <f>D99+E98</f>
        <v>-14497865.564805828</v>
      </c>
      <c r="F99" s="236">
        <f>E99+F98</f>
        <v>-10818655.328332644</v>
      </c>
      <c r="G99" s="236">
        <f>F99+G98</f>
        <v>-6522583.8713037474</v>
      </c>
      <c r="H99" s="236">
        <f>G99+H98</f>
        <v>-1538999.1389480811</v>
      </c>
      <c r="I99" s="309"/>
      <c r="J99" s="309"/>
    </row>
    <row r="101" spans="2:10">
      <c r="B101" s="310" t="s">
        <v>465</v>
      </c>
      <c r="D101" s="311">
        <f>4+(-G99/H98)</f>
        <v>5.3088136796302887</v>
      </c>
    </row>
    <row r="103" spans="2:10">
      <c r="B103" s="452" t="s">
        <v>466</v>
      </c>
      <c r="C103" s="452"/>
      <c r="D103" s="452"/>
      <c r="E103" s="452"/>
      <c r="F103" s="452"/>
      <c r="G103" s="452"/>
      <c r="H103" s="452"/>
      <c r="I103" s="452"/>
      <c r="J103" s="452"/>
    </row>
    <row r="105" spans="2:10">
      <c r="B105" s="415" t="s">
        <v>467</v>
      </c>
      <c r="C105" s="415"/>
      <c r="D105" s="415"/>
      <c r="E105" s="415"/>
      <c r="F105" s="415"/>
      <c r="G105" s="415"/>
      <c r="H105" s="415"/>
      <c r="I105" s="415"/>
    </row>
    <row r="107" spans="2:10">
      <c r="B107" s="185" t="s">
        <v>145</v>
      </c>
      <c r="C107" s="185" t="s">
        <v>148</v>
      </c>
      <c r="D107" s="185" t="s">
        <v>149</v>
      </c>
      <c r="E107" s="185" t="s">
        <v>150</v>
      </c>
      <c r="F107" s="185" t="s">
        <v>151</v>
      </c>
      <c r="G107" s="185" t="s">
        <v>152</v>
      </c>
      <c r="H107" s="185" t="s">
        <v>153</v>
      </c>
      <c r="I107" s="185" t="s">
        <v>154</v>
      </c>
    </row>
    <row r="108" spans="2:10">
      <c r="B108" s="306"/>
      <c r="C108" s="307"/>
      <c r="D108" s="307"/>
      <c r="E108" s="307"/>
      <c r="F108" s="307"/>
      <c r="G108" s="307"/>
      <c r="H108" s="307"/>
      <c r="I108" s="307"/>
    </row>
    <row r="109" spans="2:10">
      <c r="B109" s="223" t="s">
        <v>468</v>
      </c>
      <c r="C109" s="230">
        <f>'6.Cons Profit &amp; Loss'!B40</f>
        <v>3599843.0787511989</v>
      </c>
      <c r="D109" s="230">
        <f>'6.Cons Profit &amp; Loss'!C40</f>
        <v>4303441.8907192349</v>
      </c>
      <c r="E109" s="230">
        <f>'6.Cons Profit &amp; Loss'!D40</f>
        <v>5040044.6312223077</v>
      </c>
      <c r="F109" s="230">
        <f>'6.Cons Profit &amp; Loss'!E40</f>
        <v>5838037.2491464019</v>
      </c>
      <c r="G109" s="230">
        <f>'6.Cons Profit &amp; Loss'!F40</f>
        <v>6701744.4261560738</v>
      </c>
      <c r="H109" s="230">
        <f>'6.Cons Profit &amp; Loss'!G40</f>
        <v>7635769.8373888731</v>
      </c>
      <c r="I109" s="230">
        <f>'6.Cons Profit &amp; Loss'!H40</f>
        <v>8645013.2390982658</v>
      </c>
    </row>
    <row r="110" spans="2:10">
      <c r="B110" s="234" t="s">
        <v>86</v>
      </c>
      <c r="C110" s="312">
        <f t="shared" ref="C110:I110" si="11">SUM(C109:C109)</f>
        <v>3599843.0787511989</v>
      </c>
      <c r="D110" s="312">
        <f t="shared" si="11"/>
        <v>4303441.8907192349</v>
      </c>
      <c r="E110" s="312">
        <f t="shared" si="11"/>
        <v>5040044.6312223077</v>
      </c>
      <c r="F110" s="312">
        <f t="shared" si="11"/>
        <v>5838037.2491464019</v>
      </c>
      <c r="G110" s="312">
        <f t="shared" si="11"/>
        <v>6701744.4261560738</v>
      </c>
      <c r="H110" s="312">
        <f t="shared" si="11"/>
        <v>7635769.8373888731</v>
      </c>
      <c r="I110" s="312">
        <f t="shared" si="11"/>
        <v>8645013.2390982658</v>
      </c>
    </row>
    <row r="111" spans="2:10">
      <c r="B111" s="223"/>
      <c r="C111" s="223"/>
      <c r="D111" s="223"/>
      <c r="E111" s="223"/>
      <c r="F111" s="223"/>
      <c r="G111" s="223"/>
      <c r="H111" s="223"/>
      <c r="I111" s="223"/>
    </row>
    <row r="112" spans="2:10">
      <c r="B112" s="232" t="s">
        <v>469</v>
      </c>
      <c r="C112" s="236">
        <f>'8.Cash Flow '!C26+'8.Cash Flow '!C27</f>
        <v>1608197.3254517298</v>
      </c>
      <c r="D112" s="236">
        <f>'8.Cash Flow '!D26+'8.Cash Flow '!D27</f>
        <v>2271342.6536526103</v>
      </c>
      <c r="E112" s="236">
        <f>'8.Cash Flow '!E26+'8.Cash Flow '!E27</f>
        <v>2271342.6536526103</v>
      </c>
      <c r="F112" s="236">
        <f>'8.Cash Flow '!F26+'8.Cash Flow '!F27</f>
        <v>2271342.6536526098</v>
      </c>
      <c r="G112" s="236">
        <f>'8.Cash Flow '!G26+'8.Cash Flow '!G27</f>
        <v>2271342.6536526107</v>
      </c>
      <c r="H112" s="236">
        <f>'8.Cash Flow '!H26+'8.Cash Flow '!H27</f>
        <v>0</v>
      </c>
      <c r="I112" s="236">
        <f>'8.Cash Flow '!I26+'8.Cash Flow '!I27</f>
        <v>0</v>
      </c>
    </row>
    <row r="113" spans="2:18">
      <c r="B113" s="223"/>
      <c r="C113" s="223"/>
      <c r="D113" s="223"/>
      <c r="E113" s="223"/>
      <c r="F113" s="223"/>
      <c r="G113" s="223"/>
      <c r="H113" s="223"/>
      <c r="I113" s="223"/>
    </row>
    <row r="114" spans="2:18">
      <c r="B114" s="313" t="s">
        <v>470</v>
      </c>
      <c r="C114" s="309">
        <f>C110/C112</f>
        <v>2.2384336932907356</v>
      </c>
      <c r="D114" s="309">
        <f t="shared" ref="D114:G114" si="12">D110/D112</f>
        <v>1.894668725477747</v>
      </c>
      <c r="E114" s="309">
        <f t="shared" si="12"/>
        <v>2.2189715070587299</v>
      </c>
      <c r="F114" s="309">
        <f t="shared" si="12"/>
        <v>2.570302301045635</v>
      </c>
      <c r="G114" s="309">
        <f t="shared" si="12"/>
        <v>2.9505651273614784</v>
      </c>
      <c r="H114" s="309"/>
      <c r="I114" s="309"/>
    </row>
    <row r="116" spans="2:18">
      <c r="B116" s="220" t="s">
        <v>471</v>
      </c>
      <c r="C116" s="314">
        <f>AVERAGE(C114:I114)</f>
        <v>2.3745882708468651</v>
      </c>
    </row>
    <row r="118" spans="2:18" ht="29.45" customHeight="1">
      <c r="B118" s="423" t="s">
        <v>472</v>
      </c>
      <c r="C118" s="423"/>
      <c r="D118" s="423"/>
      <c r="E118" s="423"/>
      <c r="F118" s="423"/>
      <c r="G118" s="423"/>
      <c r="H118" s="423"/>
      <c r="I118" s="423"/>
      <c r="J118" s="423"/>
    </row>
    <row r="120" spans="2:18">
      <c r="B120" s="453" t="s">
        <v>473</v>
      </c>
      <c r="C120" s="454"/>
      <c r="D120" s="454"/>
      <c r="E120" s="454"/>
      <c r="F120" s="454"/>
      <c r="G120" s="454"/>
      <c r="H120" s="454"/>
      <c r="I120" s="454"/>
      <c r="K120" s="415"/>
      <c r="L120" s="415"/>
      <c r="M120" s="415"/>
      <c r="N120" s="415"/>
      <c r="O120" s="415"/>
      <c r="P120" s="415"/>
      <c r="Q120" s="415"/>
      <c r="R120" s="415"/>
    </row>
    <row r="121" spans="2:18">
      <c r="B121" s="184" t="s">
        <v>474</v>
      </c>
      <c r="C121" s="185" t="s">
        <v>148</v>
      </c>
      <c r="D121" s="185" t="s">
        <v>149</v>
      </c>
      <c r="E121" s="185" t="s">
        <v>150</v>
      </c>
      <c r="F121" s="185" t="s">
        <v>151</v>
      </c>
      <c r="G121" s="185" t="s">
        <v>152</v>
      </c>
      <c r="H121" s="185" t="s">
        <v>153</v>
      </c>
      <c r="I121" s="185" t="s">
        <v>154</v>
      </c>
    </row>
    <row r="122" spans="2:18">
      <c r="B122" s="315" t="str">
        <f>'6.Cons Profit &amp; Loss'!A8</f>
        <v xml:space="preserve">Facility 1 - Trading </v>
      </c>
      <c r="C122" s="316">
        <f>'6.Cons Profit &amp; Loss'!B8*(1+$M$123)</f>
        <v>0</v>
      </c>
      <c r="D122" s="316">
        <f>'6.Cons Profit &amp; Loss'!C8*(1+$M$123)</f>
        <v>0</v>
      </c>
      <c r="E122" s="316">
        <f>'6.Cons Profit &amp; Loss'!D8*(1+$M$123)</f>
        <v>0</v>
      </c>
      <c r="F122" s="316">
        <f>'6.Cons Profit &amp; Loss'!E8*(1+$M$123)</f>
        <v>0</v>
      </c>
      <c r="G122" s="316">
        <f>'6.Cons Profit &amp; Loss'!F8*(1+$M$123)</f>
        <v>0</v>
      </c>
      <c r="H122" s="316">
        <f>'6.Cons Profit &amp; Loss'!G8*(1+$M$123)</f>
        <v>0</v>
      </c>
      <c r="I122" s="316">
        <f>'6.Cons Profit &amp; Loss'!H8*(1+$M$123)</f>
        <v>0</v>
      </c>
    </row>
    <row r="123" spans="2:18">
      <c r="B123" s="315" t="str">
        <f>'6.Cons Profit &amp; Loss'!A9</f>
        <v>Facility 2 - Processing Unit- Rice Mill</v>
      </c>
      <c r="C123" s="316">
        <f>'6.Cons Profit &amp; Loss'!B9*(1+$M$123)</f>
        <v>0</v>
      </c>
      <c r="D123" s="316">
        <f>'6.Cons Profit &amp; Loss'!C9*(1+$M$123)</f>
        <v>0</v>
      </c>
      <c r="E123" s="316">
        <f>'6.Cons Profit &amp; Loss'!D9*(1+$M$123)</f>
        <v>0</v>
      </c>
      <c r="F123" s="316">
        <f>'6.Cons Profit &amp; Loss'!E9*(1+$M$123)</f>
        <v>0</v>
      </c>
      <c r="G123" s="316">
        <f>'6.Cons Profit &amp; Loss'!F9*(1+$M$123)</f>
        <v>0</v>
      </c>
      <c r="H123" s="316">
        <f>'6.Cons Profit &amp; Loss'!G9*(1+$M$123)</f>
        <v>0</v>
      </c>
      <c r="I123" s="316">
        <f>'6.Cons Profit &amp; Loss'!H9*(1+$M$123)</f>
        <v>0</v>
      </c>
      <c r="L123" s="226" t="s">
        <v>475</v>
      </c>
      <c r="M123" s="317">
        <v>0.05</v>
      </c>
    </row>
    <row r="124" spans="2:18">
      <c r="B124" s="315" t="str">
        <f>'6.Cons Profit &amp; Loss'!A10</f>
        <v>Facility 3 - Warehouse</v>
      </c>
      <c r="C124" s="316">
        <f>'6.Cons Profit &amp; Loss'!B10*(1+$M$123)</f>
        <v>0</v>
      </c>
      <c r="D124" s="316">
        <f>'6.Cons Profit &amp; Loss'!C10*(1+$M$123)</f>
        <v>0</v>
      </c>
      <c r="E124" s="316">
        <f>'6.Cons Profit &amp; Loss'!D10*(1+$M$123)</f>
        <v>0</v>
      </c>
      <c r="F124" s="316">
        <f>'6.Cons Profit &amp; Loss'!E10*(1+$M$123)</f>
        <v>0</v>
      </c>
      <c r="G124" s="316">
        <f>'6.Cons Profit &amp; Loss'!F10*(1+$M$123)</f>
        <v>0</v>
      </c>
      <c r="H124" s="316">
        <f>'6.Cons Profit &amp; Loss'!G10*(1+$M$123)</f>
        <v>0</v>
      </c>
      <c r="I124" s="316">
        <f>'6.Cons Profit &amp; Loss'!H10*(1+$M$123)</f>
        <v>0</v>
      </c>
      <c r="L124" s="226" t="s">
        <v>476</v>
      </c>
      <c r="M124" s="317">
        <v>0.05</v>
      </c>
    </row>
    <row r="125" spans="2:18">
      <c r="B125" s="315" t="str">
        <f>'6.Cons Profit &amp; Loss'!A11</f>
        <v xml:space="preserve">Facility 4 - Custom Hiring </v>
      </c>
      <c r="C125" s="316">
        <f>'6.Cons Profit &amp; Loss'!B11*(1+$M$123)</f>
        <v>0</v>
      </c>
      <c r="D125" s="316">
        <f>'6.Cons Profit &amp; Loss'!C11*(1+$M$123)</f>
        <v>0</v>
      </c>
      <c r="E125" s="316">
        <f>'6.Cons Profit &amp; Loss'!D11*(1+$M$123)</f>
        <v>0</v>
      </c>
      <c r="F125" s="316">
        <f>'6.Cons Profit &amp; Loss'!E11*(1+$M$123)</f>
        <v>0</v>
      </c>
      <c r="G125" s="316">
        <f>'6.Cons Profit &amp; Loss'!F11*(1+$M$123)</f>
        <v>0</v>
      </c>
      <c r="H125" s="316">
        <f>'6.Cons Profit &amp; Loss'!G11*(1+$M$123)</f>
        <v>0</v>
      </c>
      <c r="I125" s="316">
        <f>'6.Cons Profit &amp; Loss'!H11*(1+$M$123)</f>
        <v>0</v>
      </c>
    </row>
    <row r="126" spans="2:18">
      <c r="B126" s="315" t="str">
        <f>'6.Cons Profit &amp; Loss'!A12</f>
        <v>Facility 5 - Agri Input Centre</v>
      </c>
      <c r="C126" s="316">
        <f>'6.Cons Profit &amp; Loss'!B12*(1+$M$123)</f>
        <v>0</v>
      </c>
      <c r="D126" s="316">
        <f>'6.Cons Profit &amp; Loss'!C12*(1+$M$123)</f>
        <v>0</v>
      </c>
      <c r="E126" s="316">
        <f>'6.Cons Profit &amp; Loss'!D12*(1+$M$123)</f>
        <v>0</v>
      </c>
      <c r="F126" s="316">
        <f>'6.Cons Profit &amp; Loss'!E12*(1+$M$123)</f>
        <v>0</v>
      </c>
      <c r="G126" s="316">
        <f>'6.Cons Profit &amp; Loss'!F12*(1+$M$123)</f>
        <v>0</v>
      </c>
      <c r="H126" s="316">
        <f>'6.Cons Profit &amp; Loss'!G12*(1+$M$123)</f>
        <v>0</v>
      </c>
      <c r="I126" s="316">
        <f>'6.Cons Profit &amp; Loss'!H12*(1+$M$123)</f>
        <v>0</v>
      </c>
    </row>
    <row r="127" spans="2:18">
      <c r="B127" s="315" t="str">
        <f>'6.Cons Profit &amp; Loss'!A13</f>
        <v>Facility 1 - Processing Unit - Horti Commodity</v>
      </c>
      <c r="C127" s="316">
        <f>'6.Cons Profit &amp; Loss'!B13*(1+$M$123)</f>
        <v>60700242.100528806</v>
      </c>
      <c r="D127" s="316">
        <f>'6.Cons Profit &amp; Loss'!C13*(1+$M$123)</f>
        <v>69624635.323590294</v>
      </c>
      <c r="E127" s="316">
        <f>'6.Cons Profit &amp; Loss'!D13*(1+$M$123)</f>
        <v>78733286.452001795</v>
      </c>
      <c r="F127" s="316">
        <f>'6.Cons Profit &amp; Loss'!E13*(1+$M$123)</f>
        <v>88578741.104945436</v>
      </c>
      <c r="G127" s="316">
        <f>'6.Cons Profit &amp; Loss'!F13*(1+$M$123)</f>
        <v>99211908.007053494</v>
      </c>
      <c r="H127" s="316">
        <f>'6.Cons Profit &amp; Loss'!G13*(1+$M$123)</f>
        <v>110686944.74660999</v>
      </c>
      <c r="I127" s="316">
        <f>'6.Cons Profit &amp; Loss'!H13*(1+$M$123)</f>
        <v>123061455.39010446</v>
      </c>
    </row>
    <row r="128" spans="2:18">
      <c r="B128" s="315">
        <f>'6.Cons Profit &amp; Loss'!A14</f>
        <v>0</v>
      </c>
      <c r="C128" s="316">
        <f>'6.Cons Profit &amp; Loss'!B14*(1+$M$123)</f>
        <v>0</v>
      </c>
      <c r="D128" s="316">
        <f>'6.Cons Profit &amp; Loss'!C14*(1+$M$123)</f>
        <v>0</v>
      </c>
      <c r="E128" s="316">
        <f>'6.Cons Profit &amp; Loss'!D14*(1+$M$123)</f>
        <v>0</v>
      </c>
      <c r="F128" s="316">
        <f>'6.Cons Profit &amp; Loss'!E14*(1+$M$123)</f>
        <v>0</v>
      </c>
      <c r="G128" s="316">
        <f>'6.Cons Profit &amp; Loss'!F14*(1+$M$123)</f>
        <v>0</v>
      </c>
      <c r="H128" s="316">
        <f>'6.Cons Profit &amp; Loss'!G14*(1+$M$123)</f>
        <v>0</v>
      </c>
      <c r="I128" s="316">
        <f>'6.Cons Profit &amp; Loss'!H14*(1+$M$123)</f>
        <v>0</v>
      </c>
    </row>
    <row r="129" spans="2:9">
      <c r="B129" s="315" t="s">
        <v>477</v>
      </c>
      <c r="C129" s="316">
        <f>SUM(C122:C128)</f>
        <v>60700242.100528806</v>
      </c>
      <c r="D129" s="316">
        <f t="shared" ref="D129:I129" si="13">SUM(D122:D128)</f>
        <v>69624635.323590294</v>
      </c>
      <c r="E129" s="316">
        <f t="shared" si="13"/>
        <v>78733286.452001795</v>
      </c>
      <c r="F129" s="316">
        <f t="shared" si="13"/>
        <v>88578741.104945436</v>
      </c>
      <c r="G129" s="316">
        <f t="shared" si="13"/>
        <v>99211908.007053494</v>
      </c>
      <c r="H129" s="316">
        <f t="shared" si="13"/>
        <v>110686944.74660999</v>
      </c>
      <c r="I129" s="316">
        <f t="shared" si="13"/>
        <v>123061455.39010446</v>
      </c>
    </row>
    <row r="130" spans="2:9">
      <c r="B130" s="315" t="s">
        <v>478</v>
      </c>
      <c r="C130" s="316"/>
      <c r="D130" s="316"/>
      <c r="E130" s="316"/>
      <c r="F130" s="316"/>
      <c r="G130" s="316"/>
      <c r="H130" s="316"/>
      <c r="I130" s="316"/>
    </row>
    <row r="131" spans="2:9">
      <c r="B131" s="315" t="s">
        <v>479</v>
      </c>
      <c r="C131" s="316">
        <f>'6.Cons Profit &amp; Loss'!B36</f>
        <v>1838384.6905</v>
      </c>
      <c r="D131" s="316">
        <f>'6.Cons Profit &amp; Loss'!C36</f>
        <v>1910404.3810000001</v>
      </c>
      <c r="E131" s="316">
        <f>'6.Cons Profit &amp; Loss'!D36</f>
        <v>1986569.0715000001</v>
      </c>
      <c r="F131" s="316">
        <f>'6.Cons Profit &amp; Loss'!E36</f>
        <v>2067086.0120000006</v>
      </c>
      <c r="G131" s="316">
        <f>'6.Cons Profit &amp; Loss'!F36</f>
        <v>2152172.8150000004</v>
      </c>
      <c r="H131" s="316">
        <f>'6.Cons Profit &amp; Loss'!G36</f>
        <v>2242057.9736250006</v>
      </c>
      <c r="I131" s="316">
        <f>'6.Cons Profit &amp; Loss'!H36</f>
        <v>2336981.4056562502</v>
      </c>
    </row>
    <row r="132" spans="2:9">
      <c r="B132" s="315" t="s">
        <v>345</v>
      </c>
      <c r="C132" s="316">
        <f>'6.Cons Profit &amp; Loss'!B25*(1+M123)</f>
        <v>54990102.94281505</v>
      </c>
      <c r="D132" s="316">
        <f>'6.Cons Profit &amp; Loss'!C25*(1+N123)</f>
        <v>60095330.226938181</v>
      </c>
      <c r="E132" s="316">
        <f>'6.Cons Profit &amp; Loss'!D25*(1+O123)</f>
        <v>67957468.632517487</v>
      </c>
      <c r="F132" s="316">
        <f>'6.Cons Profit &amp; Loss'!E25*(1+P123)</f>
        <v>76455582.553087354</v>
      </c>
      <c r="G132" s="316">
        <f>'6.Cons Profit &amp; Loss'!F25*(1+Q123)</f>
        <v>85633614.194132969</v>
      </c>
      <c r="H132" s="316">
        <f>'6.Cons Profit &amp; Loss'!G25*(1+R123)</f>
        <v>95538310.042900383</v>
      </c>
      <c r="I132" s="316">
        <f>'6.Cons Profit &amp; Loss'!H25*(1+S123)</f>
        <v>106219391.44105925</v>
      </c>
    </row>
    <row r="133" spans="2:9">
      <c r="B133" s="315" t="s">
        <v>480</v>
      </c>
      <c r="C133" s="316">
        <f t="shared" ref="C133:I133" si="14">SUM(C131:C132)</f>
        <v>56828487.633315049</v>
      </c>
      <c r="D133" s="316">
        <f t="shared" si="14"/>
        <v>62005734.607938178</v>
      </c>
      <c r="E133" s="316">
        <f t="shared" si="14"/>
        <v>69944037.70401749</v>
      </c>
      <c r="F133" s="316">
        <f t="shared" si="14"/>
        <v>78522668.565087348</v>
      </c>
      <c r="G133" s="316">
        <f t="shared" si="14"/>
        <v>87785787.009132966</v>
      </c>
      <c r="H133" s="316">
        <f t="shared" si="14"/>
        <v>97780368.016525388</v>
      </c>
      <c r="I133" s="316">
        <f t="shared" si="14"/>
        <v>108556372.84671549</v>
      </c>
    </row>
    <row r="134" spans="2:9">
      <c r="B134" s="318" t="s">
        <v>481</v>
      </c>
      <c r="C134" s="319">
        <f t="shared" ref="C134:I134" si="15">+C129-C133</f>
        <v>3871754.4672137573</v>
      </c>
      <c r="D134" s="319">
        <f t="shared" si="15"/>
        <v>7618900.7156521156</v>
      </c>
      <c r="E134" s="319">
        <f t="shared" si="15"/>
        <v>8789248.747984305</v>
      </c>
      <c r="F134" s="319">
        <f t="shared" si="15"/>
        <v>10056072.539858088</v>
      </c>
      <c r="G134" s="319">
        <f t="shared" si="15"/>
        <v>11426120.997920528</v>
      </c>
      <c r="H134" s="319">
        <f t="shared" si="15"/>
        <v>12906576.730084598</v>
      </c>
      <c r="I134" s="319">
        <f t="shared" si="15"/>
        <v>14505082.543388963</v>
      </c>
    </row>
    <row r="135" spans="2:9">
      <c r="B135" s="320"/>
      <c r="C135" s="321"/>
      <c r="D135" s="321"/>
      <c r="E135" s="321"/>
      <c r="F135" s="321"/>
      <c r="G135" s="321"/>
      <c r="H135" s="321"/>
      <c r="I135" s="321"/>
    </row>
    <row r="136" spans="2:9">
      <c r="B136" s="184" t="s">
        <v>482</v>
      </c>
      <c r="C136" s="185" t="s">
        <v>148</v>
      </c>
      <c r="D136" s="185" t="s">
        <v>149</v>
      </c>
      <c r="E136" s="185" t="s">
        <v>150</v>
      </c>
      <c r="F136" s="185" t="s">
        <v>151</v>
      </c>
      <c r="G136" s="185" t="s">
        <v>152</v>
      </c>
      <c r="H136" s="185" t="s">
        <v>153</v>
      </c>
      <c r="I136" s="185" t="s">
        <v>154</v>
      </c>
    </row>
    <row r="137" spans="2:9">
      <c r="B137" s="315" t="str">
        <f t="shared" ref="B137:B143" si="16">B122</f>
        <v xml:space="preserve">Facility 1 - Trading </v>
      </c>
      <c r="C137" s="322">
        <f>'6.Cons Profit &amp; Loss'!B8</f>
        <v>0</v>
      </c>
      <c r="D137" s="322">
        <f>'6.Cons Profit &amp; Loss'!C8</f>
        <v>0</v>
      </c>
      <c r="E137" s="322">
        <f>'6.Cons Profit &amp; Loss'!D8</f>
        <v>0</v>
      </c>
      <c r="F137" s="322">
        <f>'6.Cons Profit &amp; Loss'!E8</f>
        <v>0</v>
      </c>
      <c r="G137" s="322">
        <f>'6.Cons Profit &amp; Loss'!F8</f>
        <v>0</v>
      </c>
      <c r="H137" s="322">
        <f>'6.Cons Profit &amp; Loss'!G8</f>
        <v>0</v>
      </c>
      <c r="I137" s="322">
        <f>'6.Cons Profit &amp; Loss'!H8</f>
        <v>0</v>
      </c>
    </row>
    <row r="138" spans="2:9">
      <c r="B138" s="315" t="str">
        <f t="shared" si="16"/>
        <v>Facility 2 - Processing Unit- Rice Mill</v>
      </c>
      <c r="C138" s="322">
        <f>'6.Cons Profit &amp; Loss'!B9</f>
        <v>0</v>
      </c>
      <c r="D138" s="322">
        <f>'6.Cons Profit &amp; Loss'!C9</f>
        <v>0</v>
      </c>
      <c r="E138" s="322">
        <f>'6.Cons Profit &amp; Loss'!D9</f>
        <v>0</v>
      </c>
      <c r="F138" s="322">
        <f>'6.Cons Profit &amp; Loss'!E9</f>
        <v>0</v>
      </c>
      <c r="G138" s="322">
        <f>'6.Cons Profit &amp; Loss'!F9</f>
        <v>0</v>
      </c>
      <c r="H138" s="322">
        <f>'6.Cons Profit &amp; Loss'!G9</f>
        <v>0</v>
      </c>
      <c r="I138" s="322">
        <f>'6.Cons Profit &amp; Loss'!H9</f>
        <v>0</v>
      </c>
    </row>
    <row r="139" spans="2:9">
      <c r="B139" s="315" t="str">
        <f t="shared" si="16"/>
        <v>Facility 3 - Warehouse</v>
      </c>
      <c r="C139" s="322">
        <f>'6.Cons Profit &amp; Loss'!B10</f>
        <v>0</v>
      </c>
      <c r="D139" s="322">
        <f>'6.Cons Profit &amp; Loss'!C10</f>
        <v>0</v>
      </c>
      <c r="E139" s="322">
        <f>'6.Cons Profit &amp; Loss'!D10</f>
        <v>0</v>
      </c>
      <c r="F139" s="322">
        <f>'6.Cons Profit &amp; Loss'!E10</f>
        <v>0</v>
      </c>
      <c r="G139" s="322">
        <f>'6.Cons Profit &amp; Loss'!F10</f>
        <v>0</v>
      </c>
      <c r="H139" s="322">
        <f>'6.Cons Profit &amp; Loss'!G10</f>
        <v>0</v>
      </c>
      <c r="I139" s="322">
        <f>'6.Cons Profit &amp; Loss'!H10</f>
        <v>0</v>
      </c>
    </row>
    <row r="140" spans="2:9">
      <c r="B140" s="315" t="str">
        <f t="shared" si="16"/>
        <v xml:space="preserve">Facility 4 - Custom Hiring </v>
      </c>
      <c r="C140" s="322">
        <f>'6.Cons Profit &amp; Loss'!B11</f>
        <v>0</v>
      </c>
      <c r="D140" s="322">
        <f>'6.Cons Profit &amp; Loss'!C11</f>
        <v>0</v>
      </c>
      <c r="E140" s="322">
        <f>'6.Cons Profit &amp; Loss'!D11</f>
        <v>0</v>
      </c>
      <c r="F140" s="322">
        <f>'6.Cons Profit &amp; Loss'!E11</f>
        <v>0</v>
      </c>
      <c r="G140" s="322">
        <f>'6.Cons Profit &amp; Loss'!F11</f>
        <v>0</v>
      </c>
      <c r="H140" s="322">
        <f>'6.Cons Profit &amp; Loss'!G11</f>
        <v>0</v>
      </c>
      <c r="I140" s="322">
        <f>'6.Cons Profit &amp; Loss'!H11</f>
        <v>0</v>
      </c>
    </row>
    <row r="141" spans="2:9">
      <c r="B141" s="315" t="str">
        <f t="shared" si="16"/>
        <v>Facility 5 - Agri Input Centre</v>
      </c>
      <c r="C141" s="322">
        <f>'6.Cons Profit &amp; Loss'!B12</f>
        <v>0</v>
      </c>
      <c r="D141" s="322">
        <f>'6.Cons Profit &amp; Loss'!C12</f>
        <v>0</v>
      </c>
      <c r="E141" s="322">
        <f>'6.Cons Profit &amp; Loss'!D12</f>
        <v>0</v>
      </c>
      <c r="F141" s="322">
        <f>'6.Cons Profit &amp; Loss'!E12</f>
        <v>0</v>
      </c>
      <c r="G141" s="322">
        <f>'6.Cons Profit &amp; Loss'!F12</f>
        <v>0</v>
      </c>
      <c r="H141" s="322">
        <f>'6.Cons Profit &amp; Loss'!G12</f>
        <v>0</v>
      </c>
      <c r="I141" s="322">
        <f>'6.Cons Profit &amp; Loss'!H12</f>
        <v>0</v>
      </c>
    </row>
    <row r="142" spans="2:9">
      <c r="B142" s="315" t="str">
        <f t="shared" si="16"/>
        <v>Facility 1 - Processing Unit - Horti Commodity</v>
      </c>
      <c r="C142" s="322">
        <f>'6.Cons Profit &amp; Loss'!B13</f>
        <v>57809754.381456003</v>
      </c>
      <c r="D142" s="322">
        <f>'6.Cons Profit &amp; Loss'!C13</f>
        <v>66309176.498657413</v>
      </c>
      <c r="E142" s="322">
        <f>'6.Cons Profit &amp; Loss'!D13</f>
        <v>74984082.335239798</v>
      </c>
      <c r="F142" s="322">
        <f>'6.Cons Profit &amp; Loss'!E13</f>
        <v>84360705.81423375</v>
      </c>
      <c r="G142" s="322">
        <f>'6.Cons Profit &amp; Loss'!F13</f>
        <v>94487531.43528904</v>
      </c>
      <c r="H142" s="322">
        <f>'6.Cons Profit &amp; Loss'!G13</f>
        <v>105416137.85391426</v>
      </c>
      <c r="I142" s="322">
        <f>'6.Cons Profit &amp; Loss'!H13</f>
        <v>117201386.08581376</v>
      </c>
    </row>
    <row r="143" spans="2:9">
      <c r="B143" s="315">
        <f t="shared" si="16"/>
        <v>0</v>
      </c>
      <c r="C143" s="322">
        <f>'6.Cons Profit &amp; Loss'!B14</f>
        <v>0</v>
      </c>
      <c r="D143" s="322">
        <f>'6.Cons Profit &amp; Loss'!C14</f>
        <v>0</v>
      </c>
      <c r="E143" s="322">
        <f>'6.Cons Profit &amp; Loss'!D14</f>
        <v>0</v>
      </c>
      <c r="F143" s="322">
        <f>'6.Cons Profit &amp; Loss'!E14</f>
        <v>0</v>
      </c>
      <c r="G143" s="322">
        <f>'6.Cons Profit &amp; Loss'!F14</f>
        <v>0</v>
      </c>
      <c r="H143" s="322">
        <f>'6.Cons Profit &amp; Loss'!G14</f>
        <v>0</v>
      </c>
      <c r="I143" s="322">
        <f>'6.Cons Profit &amp; Loss'!H14</f>
        <v>0</v>
      </c>
    </row>
    <row r="144" spans="2:9">
      <c r="B144" s="315" t="s">
        <v>477</v>
      </c>
      <c r="C144" s="322">
        <f>SUM(C137:C143)</f>
        <v>57809754.381456003</v>
      </c>
      <c r="D144" s="322">
        <f t="shared" ref="D144:I144" si="17">SUM(D137:D143)</f>
        <v>66309176.498657413</v>
      </c>
      <c r="E144" s="322">
        <f t="shared" si="17"/>
        <v>74984082.335239798</v>
      </c>
      <c r="F144" s="322">
        <f t="shared" si="17"/>
        <v>84360705.81423375</v>
      </c>
      <c r="G144" s="322">
        <f t="shared" si="17"/>
        <v>94487531.43528904</v>
      </c>
      <c r="H144" s="322">
        <f t="shared" si="17"/>
        <v>105416137.85391426</v>
      </c>
      <c r="I144" s="322">
        <f t="shared" si="17"/>
        <v>117201386.08581376</v>
      </c>
    </row>
    <row r="145" spans="2:15">
      <c r="B145" s="315" t="s">
        <v>478</v>
      </c>
      <c r="C145" s="323"/>
      <c r="D145" s="322"/>
      <c r="E145" s="322"/>
      <c r="F145" s="322"/>
      <c r="G145" s="322"/>
      <c r="H145" s="322"/>
      <c r="I145" s="322"/>
    </row>
    <row r="146" spans="2:15">
      <c r="B146" s="315" t="s">
        <v>479</v>
      </c>
      <c r="C146" s="324">
        <f>'6.Cons Profit &amp; Loss'!B36</f>
        <v>1838384.6905</v>
      </c>
      <c r="D146" s="324">
        <f>'6.Cons Profit &amp; Loss'!C36</f>
        <v>1910404.3810000001</v>
      </c>
      <c r="E146" s="324">
        <f>'6.Cons Profit &amp; Loss'!D36</f>
        <v>1986569.0715000001</v>
      </c>
      <c r="F146" s="324">
        <f>'6.Cons Profit &amp; Loss'!E36</f>
        <v>2067086.0120000006</v>
      </c>
      <c r="G146" s="324">
        <f>'6.Cons Profit &amp; Loss'!F36</f>
        <v>2152172.8150000004</v>
      </c>
      <c r="H146" s="324">
        <f>'6.Cons Profit &amp; Loss'!G36</f>
        <v>2242057.9736250006</v>
      </c>
      <c r="I146" s="324">
        <f>'6.Cons Profit &amp; Loss'!H36</f>
        <v>2336981.4056562502</v>
      </c>
    </row>
    <row r="147" spans="2:15">
      <c r="B147" s="315" t="s">
        <v>345</v>
      </c>
      <c r="C147" s="324">
        <f>'6.Cons Profit &amp; Loss'!B25*(1+$M$124)</f>
        <v>54990102.94281505</v>
      </c>
      <c r="D147" s="324">
        <f>'6.Cons Profit &amp; Loss'!C25*(1+$M$124)</f>
        <v>63100096.738285094</v>
      </c>
      <c r="E147" s="324">
        <f>'6.Cons Profit &amp; Loss'!D25*(1+$M$124)</f>
        <v>71355342.06414336</v>
      </c>
      <c r="F147" s="324">
        <f>'6.Cons Profit &amp; Loss'!E25*(1+$M$124)</f>
        <v>80278361.680741727</v>
      </c>
      <c r="G147" s="324">
        <f>'6.Cons Profit &amp; Loss'!F25*(1+$M$124)</f>
        <v>89915294.903839618</v>
      </c>
      <c r="H147" s="324">
        <f>'6.Cons Profit &amp; Loss'!G25*(1+$M$124)</f>
        <v>100315225.54504541</v>
      </c>
      <c r="I147" s="324">
        <f>'6.Cons Profit &amp; Loss'!H25*(1+$M$124)</f>
        <v>111530361.01311222</v>
      </c>
    </row>
    <row r="148" spans="2:15">
      <c r="B148" s="315" t="s">
        <v>480</v>
      </c>
      <c r="C148" s="324">
        <f t="shared" ref="C148:I148" si="18">SUM(C146:C147)</f>
        <v>56828487.633315049</v>
      </c>
      <c r="D148" s="324">
        <f t="shared" si="18"/>
        <v>65010501.119285092</v>
      </c>
      <c r="E148" s="324">
        <f t="shared" si="18"/>
        <v>73341911.135643363</v>
      </c>
      <c r="F148" s="324">
        <f t="shared" si="18"/>
        <v>82345447.692741722</v>
      </c>
      <c r="G148" s="324">
        <f t="shared" si="18"/>
        <v>92067467.718839616</v>
      </c>
      <c r="H148" s="324">
        <f t="shared" si="18"/>
        <v>102557283.51867041</v>
      </c>
      <c r="I148" s="324">
        <f t="shared" si="18"/>
        <v>113867342.41876847</v>
      </c>
    </row>
    <row r="149" spans="2:15">
      <c r="B149" s="318" t="s">
        <v>481</v>
      </c>
      <c r="C149" s="325">
        <f t="shared" ref="C149:I149" si="19">+C144-C148</f>
        <v>981266.74814095348</v>
      </c>
      <c r="D149" s="325">
        <f t="shared" si="19"/>
        <v>1298675.3793723211</v>
      </c>
      <c r="E149" s="325">
        <f t="shared" si="19"/>
        <v>1642171.1995964348</v>
      </c>
      <c r="F149" s="325">
        <f t="shared" si="19"/>
        <v>2015258.1214920282</v>
      </c>
      <c r="G149" s="325">
        <f t="shared" si="19"/>
        <v>2420063.7164494246</v>
      </c>
      <c r="H149" s="325">
        <f t="shared" si="19"/>
        <v>2858854.3352438509</v>
      </c>
      <c r="I149" s="325">
        <f t="shared" si="19"/>
        <v>3334043.6670452952</v>
      </c>
      <c r="N149" s="254"/>
      <c r="O149" s="265"/>
    </row>
    <row r="150" spans="2:15">
      <c r="B150" s="320"/>
      <c r="C150" s="321"/>
      <c r="D150" s="321"/>
      <c r="E150" s="321"/>
      <c r="F150" s="321"/>
      <c r="G150" s="321"/>
      <c r="H150" s="321"/>
      <c r="I150" s="321"/>
    </row>
    <row r="151" spans="2:15">
      <c r="B151" s="184" t="s">
        <v>483</v>
      </c>
      <c r="C151" s="185" t="s">
        <v>148</v>
      </c>
      <c r="D151" s="185" t="s">
        <v>149</v>
      </c>
      <c r="E151" s="185" t="s">
        <v>150</v>
      </c>
      <c r="F151" s="185" t="s">
        <v>151</v>
      </c>
      <c r="G151" s="185" t="s">
        <v>152</v>
      </c>
      <c r="H151" s="185" t="s">
        <v>153</v>
      </c>
      <c r="I151" s="185" t="s">
        <v>154</v>
      </c>
    </row>
    <row r="152" spans="2:15">
      <c r="B152" s="315" t="str">
        <f t="shared" ref="B152:B158" si="20">B137</f>
        <v xml:space="preserve">Facility 1 - Trading </v>
      </c>
      <c r="C152" s="316">
        <f>'6.Cons Profit &amp; Loss'!B8*(1-$M$123)</f>
        <v>0</v>
      </c>
      <c r="D152" s="316">
        <f>'6.Cons Profit &amp; Loss'!C8*(1-$M$123)</f>
        <v>0</v>
      </c>
      <c r="E152" s="316">
        <f>'6.Cons Profit &amp; Loss'!D8*(1-$M$123)</f>
        <v>0</v>
      </c>
      <c r="F152" s="316">
        <f>'6.Cons Profit &amp; Loss'!E8*(1-$M$123)</f>
        <v>0</v>
      </c>
      <c r="G152" s="316">
        <f>'6.Cons Profit &amp; Loss'!F8*(1-$M$123)</f>
        <v>0</v>
      </c>
      <c r="H152" s="316">
        <f>'6.Cons Profit &amp; Loss'!G8*(1-$M$123)</f>
        <v>0</v>
      </c>
      <c r="I152" s="316">
        <f>'6.Cons Profit &amp; Loss'!H8*(1-$M$123)</f>
        <v>0</v>
      </c>
    </row>
    <row r="153" spans="2:15">
      <c r="B153" s="315" t="str">
        <f t="shared" si="20"/>
        <v>Facility 2 - Processing Unit- Rice Mill</v>
      </c>
      <c r="C153" s="316">
        <f>'6.Cons Profit &amp; Loss'!B9*(1-$M$123)</f>
        <v>0</v>
      </c>
      <c r="D153" s="316">
        <f>'6.Cons Profit &amp; Loss'!C9*(1-$M$123)</f>
        <v>0</v>
      </c>
      <c r="E153" s="316">
        <f>'6.Cons Profit &amp; Loss'!D9*(1-$M$123)</f>
        <v>0</v>
      </c>
      <c r="F153" s="316">
        <f>'6.Cons Profit &amp; Loss'!E9*(1-$M$123)</f>
        <v>0</v>
      </c>
      <c r="G153" s="316">
        <f>'6.Cons Profit &amp; Loss'!F9*(1-$M$123)</f>
        <v>0</v>
      </c>
      <c r="H153" s="316">
        <f>'6.Cons Profit &amp; Loss'!G9*(1-$M$123)</f>
        <v>0</v>
      </c>
      <c r="I153" s="316">
        <f>'6.Cons Profit &amp; Loss'!H9*(1-$M$123)</f>
        <v>0</v>
      </c>
    </row>
    <row r="154" spans="2:15">
      <c r="B154" s="315" t="str">
        <f t="shared" si="20"/>
        <v>Facility 3 - Warehouse</v>
      </c>
      <c r="C154" s="316">
        <f>'6.Cons Profit &amp; Loss'!B10*(1-$M$123)</f>
        <v>0</v>
      </c>
      <c r="D154" s="316">
        <f>'6.Cons Profit &amp; Loss'!C10*(1-$M$123)</f>
        <v>0</v>
      </c>
      <c r="E154" s="316">
        <f>'6.Cons Profit &amp; Loss'!D10*(1-$M$123)</f>
        <v>0</v>
      </c>
      <c r="F154" s="316">
        <f>'6.Cons Profit &amp; Loss'!E10*(1-$M$123)</f>
        <v>0</v>
      </c>
      <c r="G154" s="316">
        <f>'6.Cons Profit &amp; Loss'!F10*(1-$M$123)</f>
        <v>0</v>
      </c>
      <c r="H154" s="316">
        <f>'6.Cons Profit &amp; Loss'!G10*(1-$M$123)</f>
        <v>0</v>
      </c>
      <c r="I154" s="316">
        <f>'6.Cons Profit &amp; Loss'!H10*(1-$M$123)</f>
        <v>0</v>
      </c>
    </row>
    <row r="155" spans="2:15">
      <c r="B155" s="315" t="str">
        <f t="shared" si="20"/>
        <v xml:space="preserve">Facility 4 - Custom Hiring </v>
      </c>
      <c r="C155" s="316">
        <f>'6.Cons Profit &amp; Loss'!B11*(1-$M$123)</f>
        <v>0</v>
      </c>
      <c r="D155" s="316">
        <f>'6.Cons Profit &amp; Loss'!C11*(1-$M$123)</f>
        <v>0</v>
      </c>
      <c r="E155" s="316">
        <f>'6.Cons Profit &amp; Loss'!D11*(1-$M$123)</f>
        <v>0</v>
      </c>
      <c r="F155" s="316">
        <f>'6.Cons Profit &amp; Loss'!E11*(1-$M$123)</f>
        <v>0</v>
      </c>
      <c r="G155" s="316">
        <f>'6.Cons Profit &amp; Loss'!F11*(1-$M$123)</f>
        <v>0</v>
      </c>
      <c r="H155" s="316">
        <f>'6.Cons Profit &amp; Loss'!G11*(1-$M$123)</f>
        <v>0</v>
      </c>
      <c r="I155" s="316">
        <f>'6.Cons Profit &amp; Loss'!H11*(1-$M$123)</f>
        <v>0</v>
      </c>
    </row>
    <row r="156" spans="2:15">
      <c r="B156" s="315" t="str">
        <f t="shared" si="20"/>
        <v>Facility 5 - Agri Input Centre</v>
      </c>
      <c r="C156" s="316">
        <f>'6.Cons Profit &amp; Loss'!B12*(1-$M$123)</f>
        <v>0</v>
      </c>
      <c r="D156" s="316">
        <f>'6.Cons Profit &amp; Loss'!C12*(1-$M$123)</f>
        <v>0</v>
      </c>
      <c r="E156" s="316">
        <f>'6.Cons Profit &amp; Loss'!D12*(1-$M$123)</f>
        <v>0</v>
      </c>
      <c r="F156" s="316">
        <f>'6.Cons Profit &amp; Loss'!E12*(1-$M$123)</f>
        <v>0</v>
      </c>
      <c r="G156" s="316">
        <f>'6.Cons Profit &amp; Loss'!F12*(1-$M$123)</f>
        <v>0</v>
      </c>
      <c r="H156" s="316">
        <f>'6.Cons Profit &amp; Loss'!G12*(1-$M$123)</f>
        <v>0</v>
      </c>
      <c r="I156" s="316">
        <f>'6.Cons Profit &amp; Loss'!H12*(1-$M$123)</f>
        <v>0</v>
      </c>
    </row>
    <row r="157" spans="2:15">
      <c r="B157" s="315" t="str">
        <f t="shared" si="20"/>
        <v>Facility 1 - Processing Unit - Horti Commodity</v>
      </c>
      <c r="C157" s="316">
        <f>'6.Cons Profit &amp; Loss'!B13*(1-$M$123)</f>
        <v>54919266.662383199</v>
      </c>
      <c r="D157" s="316">
        <f>'6.Cons Profit &amp; Loss'!C13*(1-$M$123)</f>
        <v>62993717.67372454</v>
      </c>
      <c r="E157" s="316">
        <f>'6.Cons Profit &amp; Loss'!D13*(1-$M$123)</f>
        <v>71234878.2184778</v>
      </c>
      <c r="F157" s="316">
        <f>'6.Cons Profit &amp; Loss'!E13*(1-$M$123)</f>
        <v>80142670.523522064</v>
      </c>
      <c r="G157" s="316">
        <f>'6.Cons Profit &amp; Loss'!F13*(1-$M$123)</f>
        <v>89763154.863524586</v>
      </c>
      <c r="H157" s="316">
        <f>'6.Cons Profit &amp; Loss'!G13*(1-$M$123)</f>
        <v>100145330.96121854</v>
      </c>
      <c r="I157" s="316">
        <f>'6.Cons Profit &amp; Loss'!H13*(1-$M$123)</f>
        <v>111341316.78152306</v>
      </c>
    </row>
    <row r="158" spans="2:15">
      <c r="B158" s="315">
        <f t="shared" si="20"/>
        <v>0</v>
      </c>
      <c r="C158" s="316">
        <f>'6.Cons Profit &amp; Loss'!B14*(1-$M$123)</f>
        <v>0</v>
      </c>
      <c r="D158" s="316">
        <f>'6.Cons Profit &amp; Loss'!C14*(1-$M$123)</f>
        <v>0</v>
      </c>
      <c r="E158" s="316">
        <f>'6.Cons Profit &amp; Loss'!D14*(1-$M$123)</f>
        <v>0</v>
      </c>
      <c r="F158" s="316">
        <f>'6.Cons Profit &amp; Loss'!E14*(1-$M$123)</f>
        <v>0</v>
      </c>
      <c r="G158" s="316">
        <f>'6.Cons Profit &amp; Loss'!F14*(1-$M$123)</f>
        <v>0</v>
      </c>
      <c r="H158" s="316">
        <f>'6.Cons Profit &amp; Loss'!G14*(1-$M$123)</f>
        <v>0</v>
      </c>
      <c r="I158" s="316">
        <f>'6.Cons Profit &amp; Loss'!H14*(1-$M$123)</f>
        <v>0</v>
      </c>
    </row>
    <row r="159" spans="2:15">
      <c r="B159" s="315" t="s">
        <v>477</v>
      </c>
      <c r="C159" s="316">
        <f>SUM(C152:C158)</f>
        <v>54919266.662383199</v>
      </c>
      <c r="D159" s="316">
        <f t="shared" ref="D159:I159" si="21">SUM(D152:D158)</f>
        <v>62993717.67372454</v>
      </c>
      <c r="E159" s="316">
        <f t="shared" si="21"/>
        <v>71234878.2184778</v>
      </c>
      <c r="F159" s="316">
        <f t="shared" si="21"/>
        <v>80142670.523522064</v>
      </c>
      <c r="G159" s="316">
        <f t="shared" si="21"/>
        <v>89763154.863524586</v>
      </c>
      <c r="H159" s="316">
        <f t="shared" si="21"/>
        <v>100145330.96121854</v>
      </c>
      <c r="I159" s="316">
        <f t="shared" si="21"/>
        <v>111341316.78152306</v>
      </c>
    </row>
    <row r="160" spans="2:15">
      <c r="B160" s="315" t="s">
        <v>478</v>
      </c>
      <c r="C160" s="316"/>
      <c r="D160" s="316"/>
      <c r="E160" s="316"/>
      <c r="F160" s="316"/>
      <c r="G160" s="316"/>
      <c r="H160" s="316"/>
      <c r="I160" s="316"/>
    </row>
    <row r="161" spans="2:9">
      <c r="B161" s="315" t="s">
        <v>479</v>
      </c>
      <c r="C161" s="316">
        <f>'6.Cons Profit &amp; Loss'!B36</f>
        <v>1838384.6905</v>
      </c>
      <c r="D161" s="316">
        <f>'6.Cons Profit &amp; Loss'!C36</f>
        <v>1910404.3810000001</v>
      </c>
      <c r="E161" s="316">
        <f>'6.Cons Profit &amp; Loss'!D36</f>
        <v>1986569.0715000001</v>
      </c>
      <c r="F161" s="316">
        <f>'6.Cons Profit &amp; Loss'!E36</f>
        <v>2067086.0120000006</v>
      </c>
      <c r="G161" s="316">
        <f>'6.Cons Profit &amp; Loss'!F36</f>
        <v>2152172.8150000004</v>
      </c>
      <c r="H161" s="316">
        <f>'6.Cons Profit &amp; Loss'!G36</f>
        <v>2242057.9736250006</v>
      </c>
      <c r="I161" s="316">
        <f>'6.Cons Profit &amp; Loss'!H36</f>
        <v>2336981.4056562502</v>
      </c>
    </row>
    <row r="162" spans="2:9">
      <c r="B162" s="315" t="s">
        <v>345</v>
      </c>
      <c r="C162" s="316">
        <f>'6.Cons Profit &amp; Loss'!B25*(1-$M$123)</f>
        <v>49752950.28159456</v>
      </c>
      <c r="D162" s="316">
        <f>'6.Cons Profit &amp; Loss'!C25*(1-$M$123)</f>
        <v>57090563.715591267</v>
      </c>
      <c r="E162" s="316">
        <f>'6.Cons Profit &amp; Loss'!D25*(1-$M$123)</f>
        <v>64559595.200891607</v>
      </c>
      <c r="F162" s="316">
        <f>'6.Cons Profit &amp; Loss'!E25*(1-$M$123)</f>
        <v>72632803.42543298</v>
      </c>
      <c r="G162" s="316">
        <f>'6.Cons Profit &amp; Loss'!F25*(1-$M$123)</f>
        <v>81351933.48442632</v>
      </c>
      <c r="H162" s="316">
        <f>'6.Cons Profit &amp; Loss'!G25*(1-$M$123)</f>
        <v>90761394.540755361</v>
      </c>
      <c r="I162" s="316">
        <f>'6.Cons Profit &amp; Loss'!H25*(1-$M$123)</f>
        <v>100908421.86900628</v>
      </c>
    </row>
    <row r="163" spans="2:9">
      <c r="B163" s="315" t="s">
        <v>480</v>
      </c>
      <c r="C163" s="316">
        <f t="shared" ref="C163:I163" si="22">SUM(C161:C162)</f>
        <v>51591334.972094558</v>
      </c>
      <c r="D163" s="316">
        <f t="shared" si="22"/>
        <v>59000968.096591264</v>
      </c>
      <c r="E163" s="316">
        <f t="shared" si="22"/>
        <v>66546164.27239161</v>
      </c>
      <c r="F163" s="316">
        <f t="shared" si="22"/>
        <v>74699889.437432975</v>
      </c>
      <c r="G163" s="316">
        <f t="shared" si="22"/>
        <v>83504106.299426317</v>
      </c>
      <c r="H163" s="316">
        <f t="shared" si="22"/>
        <v>93003452.514380366</v>
      </c>
      <c r="I163" s="316">
        <f t="shared" si="22"/>
        <v>103245403.27466252</v>
      </c>
    </row>
    <row r="164" spans="2:9">
      <c r="B164" s="318" t="s">
        <v>481</v>
      </c>
      <c r="C164" s="319">
        <f t="shared" ref="C164:I164" si="23">+C159-C163</f>
        <v>3327931.6902886406</v>
      </c>
      <c r="D164" s="319">
        <f t="shared" si="23"/>
        <v>3992749.5771332756</v>
      </c>
      <c r="E164" s="319">
        <f t="shared" si="23"/>
        <v>4688713.9460861906</v>
      </c>
      <c r="F164" s="319">
        <f t="shared" si="23"/>
        <v>5442781.0860890895</v>
      </c>
      <c r="G164" s="319">
        <f t="shared" si="23"/>
        <v>6259048.5640982687</v>
      </c>
      <c r="H164" s="319">
        <f t="shared" si="23"/>
        <v>7141878.4468381703</v>
      </c>
      <c r="I164" s="319">
        <f t="shared" si="23"/>
        <v>8095913.5068605393</v>
      </c>
    </row>
    <row r="165" spans="2:9">
      <c r="B165" s="276"/>
      <c r="C165" s="321"/>
      <c r="D165" s="321"/>
      <c r="E165" s="321"/>
      <c r="F165" s="321"/>
      <c r="G165" s="321"/>
      <c r="H165" s="321"/>
      <c r="I165" s="321"/>
    </row>
    <row r="166" spans="2:9">
      <c r="B166" s="184" t="s">
        <v>484</v>
      </c>
      <c r="C166" s="185" t="s">
        <v>148</v>
      </c>
      <c r="D166" s="185" t="s">
        <v>149</v>
      </c>
      <c r="E166" s="185" t="s">
        <v>150</v>
      </c>
      <c r="F166" s="185" t="s">
        <v>151</v>
      </c>
      <c r="G166" s="185" t="s">
        <v>152</v>
      </c>
      <c r="H166" s="185" t="s">
        <v>153</v>
      </c>
      <c r="I166" s="185" t="s">
        <v>154</v>
      </c>
    </row>
    <row r="167" spans="2:9">
      <c r="B167" s="315" t="str">
        <f t="shared" ref="B167:B173" si="24">B152</f>
        <v xml:space="preserve">Facility 1 - Trading </v>
      </c>
      <c r="C167" s="322">
        <f>'6.Cons Profit &amp; Loss'!B8</f>
        <v>0</v>
      </c>
      <c r="D167" s="322">
        <f>'6.Cons Profit &amp; Loss'!C8</f>
        <v>0</v>
      </c>
      <c r="E167" s="322">
        <f>'6.Cons Profit &amp; Loss'!D8</f>
        <v>0</v>
      </c>
      <c r="F167" s="322">
        <f>'6.Cons Profit &amp; Loss'!E8</f>
        <v>0</v>
      </c>
      <c r="G167" s="322">
        <f>'6.Cons Profit &amp; Loss'!F8</f>
        <v>0</v>
      </c>
      <c r="H167" s="322">
        <f>'6.Cons Profit &amp; Loss'!G8</f>
        <v>0</v>
      </c>
      <c r="I167" s="322">
        <f>'6.Cons Profit &amp; Loss'!H8</f>
        <v>0</v>
      </c>
    </row>
    <row r="168" spans="2:9">
      <c r="B168" s="315" t="str">
        <f t="shared" si="24"/>
        <v>Facility 2 - Processing Unit- Rice Mill</v>
      </c>
      <c r="C168" s="322">
        <f>'6.Cons Profit &amp; Loss'!B9</f>
        <v>0</v>
      </c>
      <c r="D168" s="322">
        <f>'6.Cons Profit &amp; Loss'!C9</f>
        <v>0</v>
      </c>
      <c r="E168" s="322">
        <f>'6.Cons Profit &amp; Loss'!D9</f>
        <v>0</v>
      </c>
      <c r="F168" s="322">
        <f>'6.Cons Profit &amp; Loss'!E9</f>
        <v>0</v>
      </c>
      <c r="G168" s="322">
        <f>'6.Cons Profit &amp; Loss'!F9</f>
        <v>0</v>
      </c>
      <c r="H168" s="322">
        <f>'6.Cons Profit &amp; Loss'!G9</f>
        <v>0</v>
      </c>
      <c r="I168" s="322">
        <f>'6.Cons Profit &amp; Loss'!H9</f>
        <v>0</v>
      </c>
    </row>
    <row r="169" spans="2:9">
      <c r="B169" s="315" t="str">
        <f t="shared" si="24"/>
        <v>Facility 3 - Warehouse</v>
      </c>
      <c r="C169" s="322">
        <f>'6.Cons Profit &amp; Loss'!B10</f>
        <v>0</v>
      </c>
      <c r="D169" s="322">
        <f>'6.Cons Profit &amp; Loss'!C10</f>
        <v>0</v>
      </c>
      <c r="E169" s="322">
        <f>'6.Cons Profit &amp; Loss'!D10</f>
        <v>0</v>
      </c>
      <c r="F169" s="322">
        <f>'6.Cons Profit &amp; Loss'!E10</f>
        <v>0</v>
      </c>
      <c r="G169" s="322">
        <f>'6.Cons Profit &amp; Loss'!F10</f>
        <v>0</v>
      </c>
      <c r="H169" s="322">
        <f>'6.Cons Profit &amp; Loss'!G10</f>
        <v>0</v>
      </c>
      <c r="I169" s="322">
        <f>'6.Cons Profit &amp; Loss'!H10</f>
        <v>0</v>
      </c>
    </row>
    <row r="170" spans="2:9">
      <c r="B170" s="315" t="str">
        <f t="shared" si="24"/>
        <v xml:space="preserve">Facility 4 - Custom Hiring </v>
      </c>
      <c r="C170" s="322">
        <f>'6.Cons Profit &amp; Loss'!B11</f>
        <v>0</v>
      </c>
      <c r="D170" s="322">
        <f>'6.Cons Profit &amp; Loss'!C11</f>
        <v>0</v>
      </c>
      <c r="E170" s="322">
        <f>'6.Cons Profit &amp; Loss'!D11</f>
        <v>0</v>
      </c>
      <c r="F170" s="322">
        <f>'6.Cons Profit &amp; Loss'!E11</f>
        <v>0</v>
      </c>
      <c r="G170" s="322">
        <f>'6.Cons Profit &amp; Loss'!F11</f>
        <v>0</v>
      </c>
      <c r="H170" s="322">
        <f>'6.Cons Profit &amp; Loss'!G11</f>
        <v>0</v>
      </c>
      <c r="I170" s="322">
        <f>'6.Cons Profit &amp; Loss'!H11</f>
        <v>0</v>
      </c>
    </row>
    <row r="171" spans="2:9">
      <c r="B171" s="315" t="str">
        <f t="shared" si="24"/>
        <v>Facility 5 - Agri Input Centre</v>
      </c>
      <c r="C171" s="322">
        <f>'6.Cons Profit &amp; Loss'!B12</f>
        <v>0</v>
      </c>
      <c r="D171" s="322">
        <f>'6.Cons Profit &amp; Loss'!C12</f>
        <v>0</v>
      </c>
      <c r="E171" s="322">
        <f>'6.Cons Profit &amp; Loss'!D12</f>
        <v>0</v>
      </c>
      <c r="F171" s="322">
        <f>'6.Cons Profit &amp; Loss'!E12</f>
        <v>0</v>
      </c>
      <c r="G171" s="322">
        <f>'6.Cons Profit &amp; Loss'!F12</f>
        <v>0</v>
      </c>
      <c r="H171" s="322">
        <f>'6.Cons Profit &amp; Loss'!G12</f>
        <v>0</v>
      </c>
      <c r="I171" s="322">
        <f>'6.Cons Profit &amp; Loss'!H12</f>
        <v>0</v>
      </c>
    </row>
    <row r="172" spans="2:9">
      <c r="B172" s="315" t="str">
        <f t="shared" si="24"/>
        <v>Facility 1 - Processing Unit - Horti Commodity</v>
      </c>
      <c r="C172" s="322">
        <f>'6.Cons Profit &amp; Loss'!B13</f>
        <v>57809754.381456003</v>
      </c>
      <c r="D172" s="322">
        <f>'6.Cons Profit &amp; Loss'!C13</f>
        <v>66309176.498657413</v>
      </c>
      <c r="E172" s="322">
        <f>'6.Cons Profit &amp; Loss'!D13</f>
        <v>74984082.335239798</v>
      </c>
      <c r="F172" s="322">
        <f>'6.Cons Profit &amp; Loss'!E13</f>
        <v>84360705.81423375</v>
      </c>
      <c r="G172" s="322">
        <f>'6.Cons Profit &amp; Loss'!F13</f>
        <v>94487531.43528904</v>
      </c>
      <c r="H172" s="322">
        <f>'6.Cons Profit &amp; Loss'!G13</f>
        <v>105416137.85391426</v>
      </c>
      <c r="I172" s="322">
        <f>'6.Cons Profit &amp; Loss'!H13</f>
        <v>117201386.08581376</v>
      </c>
    </row>
    <row r="173" spans="2:9">
      <c r="B173" s="315">
        <f t="shared" si="24"/>
        <v>0</v>
      </c>
      <c r="C173" s="322">
        <f>'6.Cons Profit &amp; Loss'!B14</f>
        <v>0</v>
      </c>
      <c r="D173" s="322">
        <f>'6.Cons Profit &amp; Loss'!C14</f>
        <v>0</v>
      </c>
      <c r="E173" s="322">
        <f>'6.Cons Profit &amp; Loss'!D14</f>
        <v>0</v>
      </c>
      <c r="F173" s="322">
        <f>'6.Cons Profit &amp; Loss'!E14</f>
        <v>0</v>
      </c>
      <c r="G173" s="322">
        <f>'6.Cons Profit &amp; Loss'!F14</f>
        <v>0</v>
      </c>
      <c r="H173" s="322">
        <f>'6.Cons Profit &amp; Loss'!G14</f>
        <v>0</v>
      </c>
      <c r="I173" s="322">
        <f>'6.Cons Profit &amp; Loss'!H14</f>
        <v>0</v>
      </c>
    </row>
    <row r="174" spans="2:9">
      <c r="B174" s="315" t="s">
        <v>477</v>
      </c>
      <c r="C174" s="322">
        <f>SUM(C167:C173)</f>
        <v>57809754.381456003</v>
      </c>
      <c r="D174" s="322">
        <f t="shared" ref="D174:I174" si="25">SUM(D167:D173)</f>
        <v>66309176.498657413</v>
      </c>
      <c r="E174" s="322">
        <f t="shared" si="25"/>
        <v>74984082.335239798</v>
      </c>
      <c r="F174" s="322">
        <f t="shared" si="25"/>
        <v>84360705.81423375</v>
      </c>
      <c r="G174" s="322">
        <f t="shared" si="25"/>
        <v>94487531.43528904</v>
      </c>
      <c r="H174" s="322">
        <f t="shared" si="25"/>
        <v>105416137.85391426</v>
      </c>
      <c r="I174" s="322">
        <f t="shared" si="25"/>
        <v>117201386.08581376</v>
      </c>
    </row>
    <row r="175" spans="2:9">
      <c r="B175" s="315" t="s">
        <v>478</v>
      </c>
      <c r="C175" s="322"/>
      <c r="D175" s="322"/>
      <c r="E175" s="322"/>
      <c r="F175" s="322"/>
      <c r="G175" s="322"/>
      <c r="H175" s="322"/>
      <c r="I175" s="322"/>
    </row>
    <row r="176" spans="2:9">
      <c r="B176" s="315" t="s">
        <v>479</v>
      </c>
      <c r="C176" s="322">
        <f>'6.Cons Profit &amp; Loss'!B36</f>
        <v>1838384.6905</v>
      </c>
      <c r="D176" s="322">
        <f>'6.Cons Profit &amp; Loss'!C36</f>
        <v>1910404.3810000001</v>
      </c>
      <c r="E176" s="322">
        <f>'6.Cons Profit &amp; Loss'!D36</f>
        <v>1986569.0715000001</v>
      </c>
      <c r="F176" s="322">
        <f>'6.Cons Profit &amp; Loss'!E36</f>
        <v>2067086.0120000006</v>
      </c>
      <c r="G176" s="322">
        <f>'6.Cons Profit &amp; Loss'!F36</f>
        <v>2152172.8150000004</v>
      </c>
      <c r="H176" s="322">
        <f>'6.Cons Profit &amp; Loss'!G36</f>
        <v>2242057.9736250006</v>
      </c>
      <c r="I176" s="322">
        <f>'6.Cons Profit &amp; Loss'!H36</f>
        <v>2336981.4056562502</v>
      </c>
    </row>
    <row r="177" spans="2:13">
      <c r="B177" s="315" t="s">
        <v>345</v>
      </c>
      <c r="C177" s="322">
        <f>'6.Cons Profit &amp; Loss'!B25*(1-$M$124)</f>
        <v>49752950.28159456</v>
      </c>
      <c r="D177" s="322">
        <f>'6.Cons Profit &amp; Loss'!C25*(1-$M$124)</f>
        <v>57090563.715591267</v>
      </c>
      <c r="E177" s="322">
        <f>'6.Cons Profit &amp; Loss'!D25*(1-$M$124)</f>
        <v>64559595.200891607</v>
      </c>
      <c r="F177" s="322">
        <f>'6.Cons Profit &amp; Loss'!E25*(1-$M$124)</f>
        <v>72632803.42543298</v>
      </c>
      <c r="G177" s="322">
        <f>'6.Cons Profit &amp; Loss'!F25*(1-$M$124)</f>
        <v>81351933.48442632</v>
      </c>
      <c r="H177" s="322">
        <f>'6.Cons Profit &amp; Loss'!G25*(1-$M$124)</f>
        <v>90761394.540755361</v>
      </c>
      <c r="I177" s="322">
        <f>'6.Cons Profit &amp; Loss'!H25*(1-$M$124)</f>
        <v>100908421.86900628</v>
      </c>
    </row>
    <row r="178" spans="2:13">
      <c r="B178" s="315" t="s">
        <v>480</v>
      </c>
      <c r="C178" s="322">
        <f t="shared" ref="C178:I178" si="26">SUM(C176:C177)</f>
        <v>51591334.972094558</v>
      </c>
      <c r="D178" s="322">
        <f t="shared" si="26"/>
        <v>59000968.096591264</v>
      </c>
      <c r="E178" s="322">
        <f t="shared" si="26"/>
        <v>66546164.27239161</v>
      </c>
      <c r="F178" s="322">
        <f t="shared" si="26"/>
        <v>74699889.437432975</v>
      </c>
      <c r="G178" s="322">
        <f t="shared" si="26"/>
        <v>83504106.299426317</v>
      </c>
      <c r="H178" s="322">
        <f t="shared" si="26"/>
        <v>93003452.514380366</v>
      </c>
      <c r="I178" s="322">
        <f t="shared" si="26"/>
        <v>103245403.27466252</v>
      </c>
    </row>
    <row r="179" spans="2:13">
      <c r="B179" s="318" t="s">
        <v>481</v>
      </c>
      <c r="C179" s="326">
        <f t="shared" ref="C179:I179" si="27">+C174-C178</f>
        <v>6218419.4093614444</v>
      </c>
      <c r="D179" s="326">
        <f t="shared" si="27"/>
        <v>7308208.4020661488</v>
      </c>
      <c r="E179" s="326">
        <f t="shared" si="27"/>
        <v>8437918.062848188</v>
      </c>
      <c r="F179" s="326">
        <f t="shared" si="27"/>
        <v>9660816.3768007755</v>
      </c>
      <c r="G179" s="326">
        <f t="shared" si="27"/>
        <v>10983425.135862723</v>
      </c>
      <c r="H179" s="326">
        <f t="shared" si="27"/>
        <v>12412685.339533895</v>
      </c>
      <c r="I179" s="326">
        <f t="shared" si="27"/>
        <v>13955982.811151236</v>
      </c>
    </row>
    <row r="181" spans="2:13" ht="41.1" customHeight="1">
      <c r="B181" s="455" t="s">
        <v>485</v>
      </c>
      <c r="C181" s="455"/>
      <c r="D181" s="455"/>
      <c r="E181" s="455"/>
      <c r="F181" s="455"/>
      <c r="G181" s="455"/>
      <c r="H181" s="455"/>
      <c r="I181" s="455"/>
      <c r="J181" s="327"/>
      <c r="K181" s="327"/>
      <c r="L181" s="327"/>
      <c r="M181" s="327"/>
    </row>
  </sheetData>
  <mergeCells count="20">
    <mergeCell ref="B105:I105"/>
    <mergeCell ref="B118:J118"/>
    <mergeCell ref="B120:I120"/>
    <mergeCell ref="K120:R120"/>
    <mergeCell ref="B181:I181"/>
    <mergeCell ref="C83:I83"/>
    <mergeCell ref="C85:I85"/>
    <mergeCell ref="B88:I88"/>
    <mergeCell ref="B90:J90"/>
    <mergeCell ref="B103:J103"/>
    <mergeCell ref="B51:J51"/>
    <mergeCell ref="B54:I54"/>
    <mergeCell ref="B75:J75"/>
    <mergeCell ref="B76:I76"/>
    <mergeCell ref="C82:I82"/>
    <mergeCell ref="B5:J5"/>
    <mergeCell ref="D20:J20"/>
    <mergeCell ref="D22:J22"/>
    <mergeCell ref="B24:J24"/>
    <mergeCell ref="B26:I26"/>
  </mergeCells>
  <hyperlinks>
    <hyperlink ref="B24" r:id="rId1" display="The internal rate of return (IRR) is a ratio used in financial analysis to estimate the profitability of potential investments. IRR is a discount rate that makes the net present value (NPV) of all cash flows equal to zero in a discounted cash flow analysis."/>
  </hyperlinks>
  <pageMargins left="0.7" right="0.7" top="0.75" bottom="0.75" header="0.3" footer="0.3"/>
  <pageSetup scale="51" orientation="portrait" r:id="rId2"/>
  <colBreaks count="1" manualBreakCount="1">
    <brk id="11" max="185" man="1"/>
  </colBreaks>
</worksheet>
</file>

<file path=xl/worksheets/sheet11.xml><?xml version="1.0" encoding="utf-8"?>
<worksheet xmlns="http://schemas.openxmlformats.org/spreadsheetml/2006/main" xmlns:r="http://schemas.openxmlformats.org/officeDocument/2006/relationships">
  <dimension ref="A1:Z119"/>
  <sheetViews>
    <sheetView view="pageBreakPreview" topLeftCell="A102" zoomScale="80" workbookViewId="0">
      <selection activeCell="A2" sqref="A2"/>
    </sheetView>
  </sheetViews>
  <sheetFormatPr defaultColWidth="9" defaultRowHeight="15"/>
  <cols>
    <col min="1" max="1" width="49.140625" style="1" customWidth="1"/>
    <col min="2" max="2" width="23.28515625" style="1" customWidth="1"/>
    <col min="3" max="3" width="11.5703125" style="1" customWidth="1"/>
    <col min="4" max="4" width="18.85546875" style="1" customWidth="1"/>
    <col min="5" max="5" width="15.140625" style="1" customWidth="1"/>
    <col min="6" max="7" width="15.85546875" style="1" customWidth="1"/>
    <col min="8" max="8" width="21.28515625" style="1" customWidth="1"/>
    <col min="9" max="9" width="11.42578125" style="1" customWidth="1"/>
    <col min="10" max="10" width="9.140625" style="1" customWidth="1"/>
    <col min="11" max="16384" width="9" style="1"/>
  </cols>
  <sheetData>
    <row r="1" spans="1:26">
      <c r="A1" s="456" t="s">
        <v>486</v>
      </c>
      <c r="B1" s="456"/>
      <c r="C1" s="456"/>
      <c r="D1" s="456"/>
      <c r="E1" s="456"/>
      <c r="F1" s="456"/>
      <c r="G1" s="456"/>
      <c r="H1" s="456"/>
    </row>
    <row r="2" spans="1:26">
      <c r="B2" s="41"/>
    </row>
    <row r="3" spans="1:26">
      <c r="A3" s="457" t="s">
        <v>487</v>
      </c>
      <c r="B3" s="457"/>
    </row>
    <row r="4" spans="1:26">
      <c r="A4" s="7" t="s">
        <v>145</v>
      </c>
      <c r="B4" s="8" t="s">
        <v>156</v>
      </c>
      <c r="C4" s="76"/>
      <c r="D4" s="76"/>
      <c r="E4" s="76"/>
      <c r="F4" s="76"/>
      <c r="G4" s="76"/>
      <c r="H4" s="76"/>
    </row>
    <row r="5" spans="1:26">
      <c r="A5" s="9" t="s">
        <v>488</v>
      </c>
      <c r="B5" s="31">
        <v>0</v>
      </c>
      <c r="C5" s="77"/>
      <c r="D5" s="78"/>
      <c r="E5" s="78"/>
      <c r="F5" s="78"/>
      <c r="G5" s="78"/>
      <c r="H5" s="78"/>
    </row>
    <row r="6" spans="1:26">
      <c r="A6" s="9" t="s">
        <v>489</v>
      </c>
      <c r="B6" s="31">
        <v>0</v>
      </c>
      <c r="C6" s="77"/>
      <c r="D6" s="78"/>
      <c r="E6" s="78"/>
      <c r="F6" s="78"/>
      <c r="G6" s="78"/>
      <c r="H6" s="78"/>
    </row>
    <row r="7" spans="1:26">
      <c r="A7" s="16" t="s">
        <v>86</v>
      </c>
      <c r="B7" s="37">
        <f>B5+B6</f>
        <v>0</v>
      </c>
      <c r="C7" s="79"/>
      <c r="D7" s="80"/>
      <c r="E7" s="80"/>
      <c r="F7" s="80"/>
      <c r="G7" s="80"/>
      <c r="H7" s="80"/>
    </row>
    <row r="8" spans="1:26">
      <c r="A8" s="16" t="s">
        <v>490</v>
      </c>
      <c r="B8" s="50">
        <v>0</v>
      </c>
      <c r="C8" s="79"/>
      <c r="D8" s="79"/>
      <c r="E8" s="79"/>
      <c r="F8" s="79"/>
      <c r="G8" s="79"/>
      <c r="H8" s="79"/>
    </row>
    <row r="9" spans="1:26">
      <c r="A9" s="16" t="s">
        <v>491</v>
      </c>
      <c r="B9" s="37">
        <f>B7*B8</f>
        <v>0</v>
      </c>
      <c r="C9" s="80"/>
      <c r="D9" s="80"/>
      <c r="E9" s="80"/>
      <c r="F9" s="80"/>
      <c r="G9" s="80"/>
      <c r="H9" s="80"/>
    </row>
    <row r="10" spans="1:26">
      <c r="J10" s="1" t="s">
        <v>492</v>
      </c>
      <c r="O10" s="1" t="s">
        <v>317</v>
      </c>
      <c r="U10" s="1" t="s">
        <v>14</v>
      </c>
      <c r="Y10" s="1" t="s">
        <v>493</v>
      </c>
      <c r="Z10" s="1" t="s">
        <v>494</v>
      </c>
    </row>
    <row r="11" spans="1:26">
      <c r="A11" s="456" t="s">
        <v>495</v>
      </c>
      <c r="B11" s="456"/>
      <c r="C11" s="456"/>
      <c r="D11" s="456"/>
      <c r="E11" s="456"/>
      <c r="F11" s="456"/>
      <c r="G11" s="456"/>
      <c r="H11" s="456"/>
      <c r="I11" s="81"/>
      <c r="J11" s="81"/>
      <c r="K11" s="81"/>
      <c r="L11" s="81"/>
      <c r="M11" s="81"/>
      <c r="N11" s="81"/>
      <c r="O11" s="81"/>
      <c r="P11" s="81"/>
    </row>
    <row r="12" spans="1:26">
      <c r="J12" s="82">
        <v>0.65</v>
      </c>
      <c r="K12" s="83">
        <f>J12+0.05</f>
        <v>0.70000000000000007</v>
      </c>
      <c r="L12" s="83">
        <f t="shared" ref="L12:N12" si="0">K12+0.05</f>
        <v>0.75000000000000011</v>
      </c>
      <c r="M12" s="83">
        <f t="shared" si="0"/>
        <v>0.80000000000000016</v>
      </c>
      <c r="N12" s="83">
        <f t="shared" si="0"/>
        <v>0.8500000000000002</v>
      </c>
      <c r="O12" s="82">
        <v>0.4</v>
      </c>
      <c r="P12" s="82">
        <f>O12+0.05</f>
        <v>0.45</v>
      </c>
      <c r="Q12" s="82">
        <f t="shared" ref="Q12:T12" si="1">P12+0.05</f>
        <v>0.5</v>
      </c>
      <c r="R12" s="82">
        <f t="shared" si="1"/>
        <v>0.55000000000000004</v>
      </c>
      <c r="S12" s="82">
        <f t="shared" si="1"/>
        <v>0.60000000000000009</v>
      </c>
      <c r="T12" s="82">
        <f t="shared" si="1"/>
        <v>0.65000000000000013</v>
      </c>
      <c r="U12" s="82">
        <v>0.1</v>
      </c>
      <c r="V12" s="48">
        <f>U12+0.05</f>
        <v>0.15000000000000002</v>
      </c>
      <c r="W12" s="48">
        <f t="shared" ref="W12:X12" si="2">V12+0.05</f>
        <v>0.2</v>
      </c>
      <c r="X12" s="48">
        <f t="shared" si="2"/>
        <v>0.25</v>
      </c>
    </row>
    <row r="13" spans="1:26" ht="45">
      <c r="A13" s="7" t="s">
        <v>496</v>
      </c>
      <c r="B13" s="7" t="s">
        <v>497</v>
      </c>
      <c r="C13" s="44" t="s">
        <v>498</v>
      </c>
      <c r="D13" s="44" t="s">
        <v>499</v>
      </c>
      <c r="E13" s="44" t="s">
        <v>500</v>
      </c>
      <c r="F13" s="44" t="s">
        <v>501</v>
      </c>
      <c r="G13" s="44" t="s">
        <v>502</v>
      </c>
      <c r="H13" s="44" t="s">
        <v>503</v>
      </c>
      <c r="O13" s="84" t="s">
        <v>148</v>
      </c>
      <c r="P13" s="84" t="s">
        <v>149</v>
      </c>
      <c r="Q13" s="84" t="s">
        <v>150</v>
      </c>
      <c r="R13" s="84" t="s">
        <v>151</v>
      </c>
      <c r="S13" s="84" t="s">
        <v>152</v>
      </c>
      <c r="T13" s="84" t="s">
        <v>148</v>
      </c>
      <c r="U13" s="84" t="s">
        <v>149</v>
      </c>
      <c r="V13" s="84" t="s">
        <v>150</v>
      </c>
      <c r="W13" s="84" t="s">
        <v>151</v>
      </c>
      <c r="X13" s="84" t="s">
        <v>152</v>
      </c>
    </row>
    <row r="14" spans="1:26">
      <c r="A14" s="467" t="s">
        <v>504</v>
      </c>
      <c r="B14" s="31" t="s">
        <v>505</v>
      </c>
      <c r="C14" s="85">
        <v>0</v>
      </c>
      <c r="D14" s="9">
        <f t="shared" ref="D14:D22" si="3">$B$9*C14</f>
        <v>0</v>
      </c>
      <c r="E14" s="12">
        <v>15</v>
      </c>
      <c r="F14" s="9">
        <f>D14*E14</f>
        <v>0</v>
      </c>
      <c r="G14" s="13">
        <v>0.1</v>
      </c>
      <c r="H14" s="9">
        <f>(F14-F14*G14)</f>
        <v>0</v>
      </c>
      <c r="J14" s="1">
        <f>$D$14*J12</f>
        <v>0</v>
      </c>
      <c r="K14" s="1">
        <f>$D$14*K12</f>
        <v>0</v>
      </c>
      <c r="L14" s="1">
        <f>$D$14*L12</f>
        <v>0</v>
      </c>
      <c r="M14" s="1">
        <f>$D$14*M12</f>
        <v>0</v>
      </c>
      <c r="N14" s="1">
        <f>$D$14*N12</f>
        <v>0</v>
      </c>
    </row>
    <row r="15" spans="1:26">
      <c r="A15" s="468"/>
      <c r="B15" s="31" t="s">
        <v>506</v>
      </c>
      <c r="C15" s="85">
        <v>0</v>
      </c>
      <c r="D15" s="9">
        <f t="shared" si="3"/>
        <v>0</v>
      </c>
      <c r="E15" s="12">
        <v>7</v>
      </c>
      <c r="F15" s="9">
        <f t="shared" ref="F15:F36" si="4">D15*E15</f>
        <v>0</v>
      </c>
      <c r="G15" s="13">
        <v>0.05</v>
      </c>
      <c r="H15" s="9">
        <f>(F15-F15*G15)</f>
        <v>0</v>
      </c>
    </row>
    <row r="16" spans="1:26">
      <c r="A16" s="468"/>
      <c r="B16" s="31" t="s">
        <v>507</v>
      </c>
      <c r="C16" s="87">
        <v>0.85</v>
      </c>
      <c r="D16" s="11">
        <f t="shared" si="3"/>
        <v>0</v>
      </c>
      <c r="E16" s="96">
        <v>31</v>
      </c>
      <c r="F16" s="11">
        <f t="shared" si="4"/>
        <v>0</v>
      </c>
      <c r="G16" s="96">
        <v>0.25</v>
      </c>
      <c r="H16" s="11">
        <f t="shared" ref="H16:H36" si="5">(F16-F16*G16)</f>
        <v>0</v>
      </c>
    </row>
    <row r="17" spans="1:8">
      <c r="A17" s="468"/>
      <c r="B17" s="31" t="s">
        <v>508</v>
      </c>
      <c r="C17" s="85">
        <v>0</v>
      </c>
      <c r="D17" s="9">
        <f t="shared" si="3"/>
        <v>0</v>
      </c>
      <c r="E17" s="12">
        <v>7</v>
      </c>
      <c r="F17" s="9">
        <f t="shared" si="4"/>
        <v>0</v>
      </c>
      <c r="G17" s="13">
        <v>0.02</v>
      </c>
      <c r="H17" s="9">
        <f t="shared" si="5"/>
        <v>0</v>
      </c>
    </row>
    <row r="18" spans="1:8">
      <c r="A18" s="468"/>
      <c r="B18" s="31" t="s">
        <v>509</v>
      </c>
      <c r="C18" s="85">
        <v>0</v>
      </c>
      <c r="D18" s="9">
        <f t="shared" si="3"/>
        <v>0</v>
      </c>
      <c r="E18" s="12">
        <v>20</v>
      </c>
      <c r="F18" s="9">
        <f t="shared" si="4"/>
        <v>0</v>
      </c>
      <c r="G18" s="13">
        <v>0</v>
      </c>
      <c r="H18" s="9">
        <f t="shared" si="5"/>
        <v>0</v>
      </c>
    </row>
    <row r="19" spans="1:8">
      <c r="A19" s="468"/>
      <c r="B19" s="31" t="s">
        <v>510</v>
      </c>
      <c r="C19" s="85">
        <v>0</v>
      </c>
      <c r="D19" s="9">
        <f t="shared" si="3"/>
        <v>0</v>
      </c>
      <c r="E19" s="12">
        <v>7</v>
      </c>
      <c r="F19" s="9">
        <f t="shared" si="4"/>
        <v>0</v>
      </c>
      <c r="G19" s="13">
        <v>0.1</v>
      </c>
      <c r="H19" s="9">
        <f t="shared" si="5"/>
        <v>0</v>
      </c>
    </row>
    <row r="20" spans="1:8">
      <c r="A20" s="468"/>
      <c r="B20" s="31" t="s">
        <v>511</v>
      </c>
      <c r="C20" s="85">
        <v>0</v>
      </c>
      <c r="D20" s="9">
        <f t="shared" si="3"/>
        <v>0</v>
      </c>
      <c r="E20" s="12">
        <v>6</v>
      </c>
      <c r="F20" s="9">
        <f t="shared" si="4"/>
        <v>0</v>
      </c>
      <c r="G20" s="13">
        <v>0.02</v>
      </c>
      <c r="H20" s="9">
        <f t="shared" si="5"/>
        <v>0</v>
      </c>
    </row>
    <row r="21" spans="1:8">
      <c r="A21" s="468"/>
      <c r="B21" s="31" t="s">
        <v>512</v>
      </c>
      <c r="C21" s="85">
        <v>0</v>
      </c>
      <c r="D21" s="9">
        <f t="shared" si="3"/>
        <v>0</v>
      </c>
      <c r="E21" s="12"/>
      <c r="F21" s="9">
        <f t="shared" si="4"/>
        <v>0</v>
      </c>
      <c r="G21" s="13">
        <v>0</v>
      </c>
      <c r="H21" s="9">
        <f t="shared" si="5"/>
        <v>0</v>
      </c>
    </row>
    <row r="22" spans="1:8">
      <c r="A22" s="469"/>
      <c r="B22" s="31" t="s">
        <v>513</v>
      </c>
      <c r="C22" s="85">
        <v>0</v>
      </c>
      <c r="D22" s="9">
        <f t="shared" si="3"/>
        <v>0</v>
      </c>
      <c r="E22" s="12"/>
      <c r="F22" s="9">
        <f t="shared" si="4"/>
        <v>0</v>
      </c>
      <c r="G22" s="13">
        <v>0</v>
      </c>
      <c r="H22" s="9">
        <f t="shared" si="5"/>
        <v>0</v>
      </c>
    </row>
    <row r="23" spans="1:8">
      <c r="A23" s="97" t="s">
        <v>514</v>
      </c>
      <c r="B23" s="86">
        <v>0.7</v>
      </c>
      <c r="C23" s="98">
        <f>B9*B23</f>
        <v>0</v>
      </c>
      <c r="D23" s="9"/>
      <c r="E23" s="12"/>
      <c r="F23" s="9"/>
      <c r="G23" s="13"/>
      <c r="H23" s="9"/>
    </row>
    <row r="24" spans="1:8">
      <c r="A24" s="467" t="s">
        <v>515</v>
      </c>
      <c r="B24" s="31" t="s">
        <v>516</v>
      </c>
      <c r="C24" s="85">
        <v>0</v>
      </c>
      <c r="D24" s="9">
        <f>C$23*C24</f>
        <v>0</v>
      </c>
      <c r="E24" s="12">
        <v>10</v>
      </c>
      <c r="F24" s="9">
        <f t="shared" si="4"/>
        <v>0</v>
      </c>
      <c r="G24" s="13">
        <v>0.1</v>
      </c>
      <c r="H24" s="9">
        <f t="shared" si="5"/>
        <v>0</v>
      </c>
    </row>
    <row r="25" spans="1:8">
      <c r="A25" s="468"/>
      <c r="B25" s="31" t="s">
        <v>517</v>
      </c>
      <c r="C25" s="87">
        <v>0</v>
      </c>
      <c r="D25" s="9">
        <f>C$23*C25</f>
        <v>0</v>
      </c>
      <c r="E25" s="12">
        <v>10</v>
      </c>
      <c r="F25" s="9">
        <f t="shared" si="4"/>
        <v>0</v>
      </c>
      <c r="G25" s="13">
        <v>0.1</v>
      </c>
      <c r="H25" s="9">
        <f t="shared" si="5"/>
        <v>0</v>
      </c>
    </row>
    <row r="26" spans="1:8">
      <c r="A26" s="468"/>
      <c r="B26" s="31" t="s">
        <v>512</v>
      </c>
      <c r="C26" s="85">
        <v>0</v>
      </c>
      <c r="D26" s="9">
        <f>C$23*C26</f>
        <v>0</v>
      </c>
      <c r="E26" s="12">
        <v>10</v>
      </c>
      <c r="F26" s="9">
        <f t="shared" si="4"/>
        <v>0</v>
      </c>
      <c r="G26" s="13">
        <v>0.05</v>
      </c>
      <c r="H26" s="9">
        <f t="shared" si="5"/>
        <v>0</v>
      </c>
    </row>
    <row r="27" spans="1:8">
      <c r="A27" s="468"/>
      <c r="B27" s="31" t="s">
        <v>509</v>
      </c>
      <c r="C27" s="85">
        <v>0</v>
      </c>
      <c r="D27" s="9">
        <f t="shared" ref="D27:D31" si="6">C$23*C27</f>
        <v>0</v>
      </c>
      <c r="E27" s="12">
        <v>20</v>
      </c>
      <c r="F27" s="9">
        <f t="shared" si="4"/>
        <v>0</v>
      </c>
      <c r="G27" s="13">
        <v>0</v>
      </c>
      <c r="H27" s="9">
        <f t="shared" si="5"/>
        <v>0</v>
      </c>
    </row>
    <row r="28" spans="1:8">
      <c r="A28" s="468"/>
      <c r="B28" s="31" t="s">
        <v>518</v>
      </c>
      <c r="C28" s="85">
        <v>0</v>
      </c>
      <c r="D28" s="9">
        <f t="shared" si="6"/>
        <v>0</v>
      </c>
      <c r="E28" s="12"/>
      <c r="F28" s="9">
        <f t="shared" si="4"/>
        <v>0</v>
      </c>
      <c r="G28" s="13">
        <v>0</v>
      </c>
      <c r="H28" s="9">
        <f t="shared" si="5"/>
        <v>0</v>
      </c>
    </row>
    <row r="29" spans="1:8">
      <c r="A29" s="468"/>
      <c r="B29" s="31"/>
      <c r="C29" s="85">
        <v>0</v>
      </c>
      <c r="D29" s="9">
        <f t="shared" si="6"/>
        <v>0</v>
      </c>
      <c r="E29" s="12"/>
      <c r="F29" s="9">
        <f t="shared" si="4"/>
        <v>0</v>
      </c>
      <c r="G29" s="13">
        <v>0</v>
      </c>
      <c r="H29" s="9">
        <f t="shared" si="5"/>
        <v>0</v>
      </c>
    </row>
    <row r="30" spans="1:8">
      <c r="A30" s="468"/>
      <c r="B30" s="31"/>
      <c r="C30" s="85">
        <v>0</v>
      </c>
      <c r="D30" s="9">
        <f t="shared" si="6"/>
        <v>0</v>
      </c>
      <c r="E30" s="12"/>
      <c r="F30" s="9">
        <f t="shared" si="4"/>
        <v>0</v>
      </c>
      <c r="G30" s="13">
        <v>0</v>
      </c>
      <c r="H30" s="9">
        <f t="shared" si="5"/>
        <v>0</v>
      </c>
    </row>
    <row r="31" spans="1:8">
      <c r="A31" s="469"/>
      <c r="B31" s="31"/>
      <c r="C31" s="85">
        <v>0</v>
      </c>
      <c r="D31" s="9">
        <f t="shared" si="6"/>
        <v>0</v>
      </c>
      <c r="E31" s="12"/>
      <c r="F31" s="9">
        <f t="shared" si="4"/>
        <v>0</v>
      </c>
      <c r="G31" s="13">
        <v>0</v>
      </c>
      <c r="H31" s="9">
        <f t="shared" si="5"/>
        <v>0</v>
      </c>
    </row>
    <row r="32" spans="1:8">
      <c r="A32" s="97" t="s">
        <v>519</v>
      </c>
      <c r="B32" s="86">
        <v>0.05</v>
      </c>
      <c r="C32" s="14">
        <f>B9*B32</f>
        <v>0</v>
      </c>
      <c r="D32" s="9"/>
      <c r="E32" s="12"/>
      <c r="F32" s="9"/>
      <c r="G32" s="13"/>
      <c r="H32" s="9"/>
    </row>
    <row r="33" spans="1:8">
      <c r="A33" s="88" t="s">
        <v>520</v>
      </c>
      <c r="B33" s="31" t="s">
        <v>521</v>
      </c>
      <c r="C33" s="85">
        <v>0</v>
      </c>
      <c r="D33" s="9">
        <f>C$32*C33</f>
        <v>0</v>
      </c>
      <c r="E33" s="12"/>
      <c r="F33" s="9">
        <f t="shared" si="4"/>
        <v>0</v>
      </c>
      <c r="G33" s="13">
        <v>0</v>
      </c>
      <c r="H33" s="9">
        <f t="shared" si="5"/>
        <v>0</v>
      </c>
    </row>
    <row r="34" spans="1:8">
      <c r="A34" s="89"/>
      <c r="B34" s="31"/>
      <c r="C34" s="85">
        <v>0</v>
      </c>
      <c r="D34" s="9">
        <f>C$32*C34</f>
        <v>0</v>
      </c>
      <c r="E34" s="12"/>
      <c r="F34" s="9">
        <f t="shared" si="4"/>
        <v>0</v>
      </c>
      <c r="G34" s="13">
        <v>0</v>
      </c>
      <c r="H34" s="9">
        <f t="shared" si="5"/>
        <v>0</v>
      </c>
    </row>
    <row r="35" spans="1:8">
      <c r="A35" s="89"/>
      <c r="B35" s="31"/>
      <c r="C35" s="85">
        <v>0</v>
      </c>
      <c r="D35" s="9">
        <f>C$32*C35</f>
        <v>0</v>
      </c>
      <c r="E35" s="12"/>
      <c r="F35" s="9">
        <f t="shared" si="4"/>
        <v>0</v>
      </c>
      <c r="G35" s="13">
        <v>0</v>
      </c>
      <c r="H35" s="9">
        <f t="shared" si="5"/>
        <v>0</v>
      </c>
    </row>
    <row r="36" spans="1:8">
      <c r="A36" s="90"/>
      <c r="B36" s="31"/>
      <c r="C36" s="85">
        <v>0</v>
      </c>
      <c r="D36" s="9">
        <f>C$32*C36</f>
        <v>0</v>
      </c>
      <c r="E36" s="12"/>
      <c r="F36" s="9">
        <f t="shared" si="4"/>
        <v>0</v>
      </c>
      <c r="G36" s="13">
        <v>0</v>
      </c>
      <c r="H36" s="9">
        <f t="shared" si="5"/>
        <v>0</v>
      </c>
    </row>
    <row r="37" spans="1:8">
      <c r="A37" s="458" t="s">
        <v>522</v>
      </c>
      <c r="B37" s="458"/>
      <c r="C37" s="458"/>
      <c r="D37" s="458"/>
      <c r="E37" s="458"/>
      <c r="F37" s="458"/>
      <c r="G37" s="458"/>
      <c r="H37" s="458"/>
    </row>
    <row r="39" spans="1:8">
      <c r="A39" s="459" t="s">
        <v>523</v>
      </c>
      <c r="B39" s="460"/>
      <c r="C39" s="460"/>
      <c r="D39" s="460"/>
      <c r="E39" s="460"/>
      <c r="F39" s="460"/>
      <c r="G39" s="460"/>
      <c r="H39" s="461"/>
    </row>
    <row r="40" spans="1:8">
      <c r="A40" s="470" t="s">
        <v>145</v>
      </c>
      <c r="B40" s="91">
        <v>0.35</v>
      </c>
      <c r="C40" s="91">
        <f t="shared" ref="C40:G40" si="7">B40-0.05</f>
        <v>0.3</v>
      </c>
      <c r="D40" s="91">
        <f t="shared" si="7"/>
        <v>0.25</v>
      </c>
      <c r="E40" s="91">
        <f t="shared" si="7"/>
        <v>0.2</v>
      </c>
      <c r="F40" s="91">
        <f t="shared" si="7"/>
        <v>0.15000000000000002</v>
      </c>
      <c r="G40" s="91">
        <f t="shared" si="7"/>
        <v>0.10000000000000002</v>
      </c>
      <c r="H40" s="91">
        <f>G40</f>
        <v>0.10000000000000002</v>
      </c>
    </row>
    <row r="41" spans="1:8">
      <c r="A41" s="471"/>
      <c r="B41" s="8" t="s">
        <v>148</v>
      </c>
      <c r="C41" s="8" t="s">
        <v>149</v>
      </c>
      <c r="D41" s="8" t="s">
        <v>150</v>
      </c>
      <c r="E41" s="8" t="s">
        <v>151</v>
      </c>
      <c r="F41" s="8" t="s">
        <v>152</v>
      </c>
      <c r="G41" s="8" t="s">
        <v>153</v>
      </c>
      <c r="H41" s="8" t="s">
        <v>154</v>
      </c>
    </row>
    <row r="42" spans="1:8">
      <c r="A42" s="9" t="str">
        <f t="shared" ref="A42:A50" si="8">B14</f>
        <v>Soybean</v>
      </c>
      <c r="B42" s="9">
        <f t="shared" ref="B42:B50" si="9">H14*$B$40</f>
        <v>0</v>
      </c>
      <c r="C42" s="9">
        <f t="shared" ref="C42:H51" si="10">(B42/B$40)*C$40</f>
        <v>0</v>
      </c>
      <c r="D42" s="9">
        <f t="shared" si="10"/>
        <v>0</v>
      </c>
      <c r="E42" s="9">
        <f t="shared" si="10"/>
        <v>0</v>
      </c>
      <c r="F42" s="9">
        <f t="shared" si="10"/>
        <v>0</v>
      </c>
      <c r="G42" s="9">
        <f t="shared" si="10"/>
        <v>0</v>
      </c>
      <c r="H42" s="9">
        <f t="shared" si="10"/>
        <v>0</v>
      </c>
    </row>
    <row r="43" spans="1:8">
      <c r="A43" s="9" t="str">
        <f t="shared" si="8"/>
        <v>Red Gram/Tur</v>
      </c>
      <c r="B43" s="9">
        <f t="shared" si="9"/>
        <v>0</v>
      </c>
      <c r="C43" s="9">
        <f t="shared" si="10"/>
        <v>0</v>
      </c>
      <c r="D43" s="9">
        <f t="shared" si="10"/>
        <v>0</v>
      </c>
      <c r="E43" s="9">
        <f t="shared" si="10"/>
        <v>0</v>
      </c>
      <c r="F43" s="9">
        <f t="shared" si="10"/>
        <v>0</v>
      </c>
      <c r="G43" s="9">
        <f t="shared" si="10"/>
        <v>0</v>
      </c>
      <c r="H43" s="9">
        <f t="shared" si="10"/>
        <v>0</v>
      </c>
    </row>
    <row r="44" spans="1:8">
      <c r="A44" s="9" t="str">
        <f t="shared" si="8"/>
        <v>Paddy/Rice</v>
      </c>
      <c r="B44" s="11">
        <f t="shared" si="9"/>
        <v>0</v>
      </c>
      <c r="C44" s="11">
        <f t="shared" si="10"/>
        <v>0</v>
      </c>
      <c r="D44" s="11">
        <f t="shared" si="10"/>
        <v>0</v>
      </c>
      <c r="E44" s="11">
        <f t="shared" si="10"/>
        <v>0</v>
      </c>
      <c r="F44" s="11">
        <f t="shared" si="10"/>
        <v>0</v>
      </c>
      <c r="G44" s="11">
        <f t="shared" si="10"/>
        <v>0</v>
      </c>
      <c r="H44" s="11">
        <f t="shared" si="10"/>
        <v>0</v>
      </c>
    </row>
    <row r="45" spans="1:8">
      <c r="A45" s="9" t="str">
        <f t="shared" si="8"/>
        <v>Green Gram/ Moong</v>
      </c>
      <c r="B45" s="9">
        <f t="shared" si="9"/>
        <v>0</v>
      </c>
      <c r="C45" s="9">
        <f t="shared" si="10"/>
        <v>0</v>
      </c>
      <c r="D45" s="9">
        <f t="shared" si="10"/>
        <v>0</v>
      </c>
      <c r="E45" s="9">
        <f t="shared" si="10"/>
        <v>0</v>
      </c>
      <c r="F45" s="9">
        <f t="shared" si="10"/>
        <v>0</v>
      </c>
      <c r="G45" s="9">
        <f t="shared" si="10"/>
        <v>0</v>
      </c>
      <c r="H45" s="9">
        <f t="shared" si="10"/>
        <v>0</v>
      </c>
    </row>
    <row r="46" spans="1:8">
      <c r="A46" s="9" t="str">
        <f t="shared" si="8"/>
        <v>Maize</v>
      </c>
      <c r="B46" s="9">
        <f t="shared" si="9"/>
        <v>0</v>
      </c>
      <c r="C46" s="9">
        <f t="shared" si="10"/>
        <v>0</v>
      </c>
      <c r="D46" s="9">
        <f t="shared" si="10"/>
        <v>0</v>
      </c>
      <c r="E46" s="9">
        <f t="shared" si="10"/>
        <v>0</v>
      </c>
      <c r="F46" s="9">
        <f t="shared" si="10"/>
        <v>0</v>
      </c>
      <c r="G46" s="9">
        <f t="shared" si="10"/>
        <v>0</v>
      </c>
      <c r="H46" s="9">
        <f t="shared" si="10"/>
        <v>0</v>
      </c>
    </row>
    <row r="47" spans="1:8">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8">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0</v>
      </c>
      <c r="C51" s="9">
        <f t="shared" si="10"/>
        <v>0</v>
      </c>
      <c r="D51" s="9">
        <f t="shared" si="10"/>
        <v>0</v>
      </c>
      <c r="E51" s="9">
        <f t="shared" si="10"/>
        <v>0</v>
      </c>
      <c r="F51" s="9">
        <f t="shared" si="10"/>
        <v>0</v>
      </c>
      <c r="G51" s="9">
        <f t="shared" si="10"/>
        <v>0</v>
      </c>
      <c r="H51" s="9">
        <f t="shared" si="10"/>
        <v>0</v>
      </c>
    </row>
    <row r="52" spans="1:8">
      <c r="A52" s="9" t="str">
        <f t="shared" si="11"/>
        <v>Bengal Gram/Channa</v>
      </c>
      <c r="B52" s="9">
        <f t="shared" si="12"/>
        <v>0</v>
      </c>
      <c r="C52" s="9">
        <f t="shared" ref="C52:H61" si="13">(B52/B$40)*C$40</f>
        <v>0</v>
      </c>
      <c r="D52" s="9">
        <f t="shared" si="13"/>
        <v>0</v>
      </c>
      <c r="E52" s="9">
        <f t="shared" si="13"/>
        <v>0</v>
      </c>
      <c r="F52" s="9">
        <f t="shared" si="13"/>
        <v>0</v>
      </c>
      <c r="G52" s="9">
        <f t="shared" si="13"/>
        <v>0</v>
      </c>
      <c r="H52" s="9">
        <f t="shared" si="13"/>
        <v>0</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c r="A64" s="464" t="s">
        <v>524</v>
      </c>
      <c r="B64" s="465"/>
      <c r="C64" s="465"/>
      <c r="D64" s="465"/>
      <c r="E64" s="465"/>
      <c r="F64" s="465"/>
      <c r="G64" s="465"/>
      <c r="H64" s="466"/>
    </row>
    <row r="65" spans="1:8">
      <c r="A65" s="472" t="s">
        <v>145</v>
      </c>
      <c r="B65" s="92">
        <f t="shared" ref="B65:H65" si="15">100%-B40</f>
        <v>0.65</v>
      </c>
      <c r="C65" s="92">
        <f t="shared" si="15"/>
        <v>0.7</v>
      </c>
      <c r="D65" s="92">
        <f t="shared" si="15"/>
        <v>0.75</v>
      </c>
      <c r="E65" s="92">
        <f t="shared" si="15"/>
        <v>0.8</v>
      </c>
      <c r="F65" s="92">
        <f t="shared" si="15"/>
        <v>0.85</v>
      </c>
      <c r="G65" s="92">
        <f t="shared" si="15"/>
        <v>0.9</v>
      </c>
      <c r="H65" s="92">
        <f t="shared" si="15"/>
        <v>0.9</v>
      </c>
    </row>
    <row r="66" spans="1:8">
      <c r="A66" s="473"/>
      <c r="B66" s="8" t="s">
        <v>148</v>
      </c>
      <c r="C66" s="8" t="s">
        <v>149</v>
      </c>
      <c r="D66" s="8" t="s">
        <v>150</v>
      </c>
      <c r="E66" s="8" t="s">
        <v>151</v>
      </c>
      <c r="F66" s="8" t="s">
        <v>152</v>
      </c>
      <c r="G66" s="8" t="s">
        <v>153</v>
      </c>
      <c r="H66" s="8" t="s">
        <v>154</v>
      </c>
    </row>
    <row r="67" spans="1:8" s="93" customFormat="1">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0</v>
      </c>
      <c r="C68" s="9">
        <f>(B68/B$65)*C$65</f>
        <v>0</v>
      </c>
      <c r="D68" s="9">
        <f t="shared" si="17"/>
        <v>0</v>
      </c>
      <c r="E68" s="9">
        <f t="shared" si="17"/>
        <v>0</v>
      </c>
      <c r="F68" s="9">
        <f t="shared" si="17"/>
        <v>0</v>
      </c>
      <c r="G68" s="9">
        <f t="shared" si="17"/>
        <v>0</v>
      </c>
      <c r="H68" s="9">
        <f t="shared" si="17"/>
        <v>0</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0</v>
      </c>
      <c r="C70" s="9">
        <f t="shared" ref="C70:H70" si="20">(B70/B$65)*C$65</f>
        <v>0</v>
      </c>
      <c r="D70" s="9">
        <f t="shared" si="20"/>
        <v>0</v>
      </c>
      <c r="E70" s="9">
        <f t="shared" si="20"/>
        <v>0</v>
      </c>
      <c r="F70" s="9">
        <f t="shared" si="20"/>
        <v>0</v>
      </c>
      <c r="G70" s="9">
        <f t="shared" si="20"/>
        <v>0</v>
      </c>
      <c r="H70" s="9">
        <f t="shared" si="20"/>
        <v>0</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 t="shared" si="18"/>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0</v>
      </c>
      <c r="C76" s="9">
        <f t="shared" ref="C76:H76" si="27">(B76/B$65)*C$65</f>
        <v>0</v>
      </c>
      <c r="D76" s="9">
        <f t="shared" si="27"/>
        <v>0</v>
      </c>
      <c r="E76" s="9">
        <f t="shared" si="27"/>
        <v>0</v>
      </c>
      <c r="F76" s="9">
        <f t="shared" si="27"/>
        <v>0</v>
      </c>
      <c r="G76" s="9">
        <f t="shared" si="27"/>
        <v>0</v>
      </c>
      <c r="H76" s="9">
        <f t="shared" si="27"/>
        <v>0</v>
      </c>
    </row>
    <row r="77" spans="1:8">
      <c r="A77" s="9" t="str">
        <f t="shared" si="16"/>
        <v>Bengal Gram/Channa</v>
      </c>
      <c r="B77" s="9">
        <f t="shared" si="26"/>
        <v>0</v>
      </c>
      <c r="C77" s="9">
        <f t="shared" ref="C77:H77" si="28">(B77/B$65)*C$65</f>
        <v>0</v>
      </c>
      <c r="D77" s="9">
        <f t="shared" si="28"/>
        <v>0</v>
      </c>
      <c r="E77" s="9">
        <f t="shared" si="28"/>
        <v>0</v>
      </c>
      <c r="F77" s="9">
        <f t="shared" si="28"/>
        <v>0</v>
      </c>
      <c r="G77" s="9">
        <f t="shared" si="28"/>
        <v>0</v>
      </c>
      <c r="H77" s="9">
        <f t="shared" si="28"/>
        <v>0</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9">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9">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9">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9">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9">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9">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9">
      <c r="A87" s="9">
        <f t="shared" si="16"/>
        <v>0</v>
      </c>
      <c r="B87" s="9">
        <f>H36*$B$65</f>
        <v>0</v>
      </c>
      <c r="C87" s="9">
        <f t="shared" ref="C87:H87" si="38">(B87/B$65)*C$65</f>
        <v>0</v>
      </c>
      <c r="D87" s="9">
        <f t="shared" si="38"/>
        <v>0</v>
      </c>
      <c r="E87" s="9">
        <f t="shared" si="38"/>
        <v>0</v>
      </c>
      <c r="F87" s="9">
        <f t="shared" si="38"/>
        <v>0</v>
      </c>
      <c r="G87" s="9">
        <f t="shared" si="38"/>
        <v>0</v>
      </c>
      <c r="H87" s="9">
        <f t="shared" si="38"/>
        <v>0</v>
      </c>
    </row>
    <row r="88" spans="1:9">
      <c r="B88" s="21"/>
      <c r="C88" s="21"/>
      <c r="D88" s="21"/>
      <c r="E88" s="21"/>
      <c r="F88" s="21"/>
      <c r="G88" s="21"/>
      <c r="H88" s="21"/>
      <c r="I88" s="21"/>
    </row>
    <row r="89" spans="1:9">
      <c r="A89" s="464" t="s">
        <v>525</v>
      </c>
      <c r="B89" s="465"/>
      <c r="C89" s="465"/>
      <c r="D89" s="465"/>
      <c r="E89" s="465"/>
      <c r="F89" s="465"/>
      <c r="G89" s="465"/>
      <c r="H89" s="466"/>
    </row>
    <row r="90" spans="1:9">
      <c r="A90" s="462" t="s">
        <v>145</v>
      </c>
      <c r="B90" s="94">
        <v>0.7</v>
      </c>
      <c r="C90" s="95">
        <f>B90+0.05</f>
        <v>0.75</v>
      </c>
      <c r="D90" s="95">
        <f t="shared" ref="D90:H90" si="39">C90+0.05</f>
        <v>0.8</v>
      </c>
      <c r="E90" s="95">
        <f t="shared" si="39"/>
        <v>0.85000000000000009</v>
      </c>
      <c r="F90" s="95">
        <f t="shared" si="39"/>
        <v>0.90000000000000013</v>
      </c>
      <c r="G90" s="95">
        <f t="shared" si="39"/>
        <v>0.95000000000000018</v>
      </c>
      <c r="H90" s="95">
        <f t="shared" si="39"/>
        <v>1.0000000000000002</v>
      </c>
    </row>
    <row r="91" spans="1:9">
      <c r="A91" s="463"/>
      <c r="B91" s="8" t="s">
        <v>148</v>
      </c>
      <c r="C91" s="8" t="s">
        <v>149</v>
      </c>
      <c r="D91" s="8" t="s">
        <v>150</v>
      </c>
      <c r="E91" s="8" t="s">
        <v>151</v>
      </c>
      <c r="F91" s="8" t="s">
        <v>152</v>
      </c>
      <c r="G91" s="8" t="s">
        <v>153</v>
      </c>
      <c r="H91" s="8" t="s">
        <v>154</v>
      </c>
    </row>
    <row r="92" spans="1:9" s="93" customFormat="1">
      <c r="A92" s="9" t="str">
        <f t="shared" ref="A92:A112" si="40">A67</f>
        <v>Soybean</v>
      </c>
      <c r="B92" s="9">
        <f t="shared" ref="B92:B100" si="41">D14*$B$90</f>
        <v>0</v>
      </c>
      <c r="C92" s="99">
        <f t="shared" ref="C92:H92" si="42">(B92/B$90)*C$90</f>
        <v>0</v>
      </c>
      <c r="D92" s="99">
        <f t="shared" si="42"/>
        <v>0</v>
      </c>
      <c r="E92" s="99">
        <f t="shared" si="42"/>
        <v>0</v>
      </c>
      <c r="F92" s="99">
        <f t="shared" si="42"/>
        <v>0</v>
      </c>
      <c r="G92" s="99">
        <f t="shared" si="42"/>
        <v>0</v>
      </c>
      <c r="H92" s="99">
        <f t="shared" si="42"/>
        <v>0</v>
      </c>
    </row>
    <row r="93" spans="1:9">
      <c r="A93" s="9" t="str">
        <f t="shared" si="40"/>
        <v>Red Gram/Tur</v>
      </c>
      <c r="B93" s="9">
        <f t="shared" si="41"/>
        <v>0</v>
      </c>
      <c r="C93" s="99">
        <f t="shared" ref="C93:C113" si="43">(B93/B$90)*C$90</f>
        <v>0</v>
      </c>
      <c r="D93" s="99">
        <f>(C93/C90)*D90</f>
        <v>0</v>
      </c>
      <c r="E93" s="99">
        <f t="shared" ref="E93:H93" si="44">(D93/D90)*E90</f>
        <v>0</v>
      </c>
      <c r="F93" s="99">
        <f t="shared" si="44"/>
        <v>0</v>
      </c>
      <c r="G93" s="99">
        <f t="shared" si="44"/>
        <v>0</v>
      </c>
      <c r="H93" s="99">
        <f t="shared" si="44"/>
        <v>0</v>
      </c>
    </row>
    <row r="94" spans="1:9">
      <c r="A94" s="9" t="str">
        <f t="shared" si="40"/>
        <v>Paddy/Rice</v>
      </c>
      <c r="B94" s="9">
        <f t="shared" si="41"/>
        <v>0</v>
      </c>
      <c r="C94" s="99">
        <f t="shared" si="43"/>
        <v>0</v>
      </c>
      <c r="D94" s="99">
        <f t="shared" ref="D94:H103" si="45">(C94/C$90)*D$90</f>
        <v>0</v>
      </c>
      <c r="E94" s="99">
        <f t="shared" si="45"/>
        <v>0</v>
      </c>
      <c r="F94" s="99">
        <f t="shared" si="45"/>
        <v>0</v>
      </c>
      <c r="G94" s="99">
        <f t="shared" si="45"/>
        <v>0</v>
      </c>
      <c r="H94" s="99">
        <f t="shared" si="45"/>
        <v>0</v>
      </c>
    </row>
    <row r="95" spans="1:9">
      <c r="A95" s="9" t="str">
        <f t="shared" si="40"/>
        <v>Green Gram/ Moong</v>
      </c>
      <c r="B95" s="9">
        <f t="shared" si="41"/>
        <v>0</v>
      </c>
      <c r="C95" s="99">
        <f t="shared" si="43"/>
        <v>0</v>
      </c>
      <c r="D95" s="99">
        <f t="shared" si="45"/>
        <v>0</v>
      </c>
      <c r="E95" s="99">
        <f t="shared" si="45"/>
        <v>0</v>
      </c>
      <c r="F95" s="99">
        <f t="shared" si="45"/>
        <v>0</v>
      </c>
      <c r="G95" s="99">
        <f t="shared" si="45"/>
        <v>0</v>
      </c>
      <c r="H95" s="99">
        <f t="shared" si="45"/>
        <v>0</v>
      </c>
    </row>
    <row r="96" spans="1:9">
      <c r="A96" s="9" t="str">
        <f t="shared" si="40"/>
        <v>Maize</v>
      </c>
      <c r="B96" s="99">
        <f t="shared" si="41"/>
        <v>0</v>
      </c>
      <c r="C96" s="99">
        <f t="shared" si="43"/>
        <v>0</v>
      </c>
      <c r="D96" s="99">
        <f t="shared" si="45"/>
        <v>0</v>
      </c>
      <c r="E96" s="99">
        <f t="shared" si="45"/>
        <v>0</v>
      </c>
      <c r="F96" s="99">
        <f t="shared" si="45"/>
        <v>0</v>
      </c>
      <c r="G96" s="99">
        <f t="shared" si="45"/>
        <v>0</v>
      </c>
      <c r="H96" s="99">
        <f t="shared" si="45"/>
        <v>0</v>
      </c>
    </row>
    <row r="97" spans="1:8">
      <c r="A97" s="9" t="str">
        <f t="shared" si="40"/>
        <v>Black Gram/Udid</v>
      </c>
      <c r="B97" s="9">
        <f t="shared" si="41"/>
        <v>0</v>
      </c>
      <c r="C97" s="99">
        <f t="shared" si="43"/>
        <v>0</v>
      </c>
      <c r="D97" s="99">
        <f t="shared" si="45"/>
        <v>0</v>
      </c>
      <c r="E97" s="99">
        <f t="shared" si="45"/>
        <v>0</v>
      </c>
      <c r="F97" s="99">
        <f t="shared" si="45"/>
        <v>0</v>
      </c>
      <c r="G97" s="99">
        <f t="shared" si="45"/>
        <v>0</v>
      </c>
      <c r="H97" s="99">
        <f t="shared" si="45"/>
        <v>0</v>
      </c>
    </row>
    <row r="98" spans="1:8">
      <c r="A98" s="9" t="str">
        <f t="shared" si="40"/>
        <v>Bajra</v>
      </c>
      <c r="B98" s="9">
        <f t="shared" si="41"/>
        <v>0</v>
      </c>
      <c r="C98" s="99">
        <f t="shared" si="43"/>
        <v>0</v>
      </c>
      <c r="D98" s="99">
        <f t="shared" si="45"/>
        <v>0</v>
      </c>
      <c r="E98" s="99">
        <f t="shared" si="45"/>
        <v>0</v>
      </c>
      <c r="F98" s="99">
        <f t="shared" si="45"/>
        <v>0</v>
      </c>
      <c r="G98" s="99">
        <f t="shared" si="45"/>
        <v>0</v>
      </c>
      <c r="H98" s="99">
        <f t="shared" si="45"/>
        <v>0</v>
      </c>
    </row>
    <row r="99" spans="1:8">
      <c r="A99" s="9" t="str">
        <f t="shared" si="40"/>
        <v>Jawar</v>
      </c>
      <c r="B99" s="9">
        <f t="shared" si="41"/>
        <v>0</v>
      </c>
      <c r="C99" s="99">
        <f t="shared" si="43"/>
        <v>0</v>
      </c>
      <c r="D99" s="99">
        <f t="shared" si="45"/>
        <v>0</v>
      </c>
      <c r="E99" s="99">
        <f t="shared" si="45"/>
        <v>0</v>
      </c>
      <c r="F99" s="99">
        <f t="shared" si="45"/>
        <v>0</v>
      </c>
      <c r="G99" s="99">
        <f t="shared" si="45"/>
        <v>0</v>
      </c>
      <c r="H99" s="99">
        <f t="shared" si="45"/>
        <v>0</v>
      </c>
    </row>
    <row r="100" spans="1:8">
      <c r="A100" s="9" t="str">
        <f t="shared" si="40"/>
        <v>Sunflower</v>
      </c>
      <c r="B100" s="9">
        <f t="shared" si="41"/>
        <v>0</v>
      </c>
      <c r="C100" s="99">
        <f t="shared" si="43"/>
        <v>0</v>
      </c>
      <c r="D100" s="99">
        <f t="shared" si="45"/>
        <v>0</v>
      </c>
      <c r="E100" s="99">
        <f t="shared" si="45"/>
        <v>0</v>
      </c>
      <c r="F100" s="99">
        <f t="shared" si="45"/>
        <v>0</v>
      </c>
      <c r="G100" s="99">
        <f t="shared" si="45"/>
        <v>0</v>
      </c>
      <c r="H100" s="99">
        <f t="shared" si="45"/>
        <v>0</v>
      </c>
    </row>
    <row r="101" spans="1:8">
      <c r="A101" s="9" t="str">
        <f t="shared" si="40"/>
        <v>Wheat</v>
      </c>
      <c r="B101" s="9">
        <f t="shared" ref="B101:B108" si="46">D24*$B$90</f>
        <v>0</v>
      </c>
      <c r="C101" s="99">
        <f t="shared" si="43"/>
        <v>0</v>
      </c>
      <c r="D101" s="99">
        <f t="shared" si="45"/>
        <v>0</v>
      </c>
      <c r="E101" s="99">
        <f t="shared" si="45"/>
        <v>0</v>
      </c>
      <c r="F101" s="99">
        <f t="shared" si="45"/>
        <v>0</v>
      </c>
      <c r="G101" s="99">
        <f t="shared" si="45"/>
        <v>0</v>
      </c>
      <c r="H101" s="99">
        <f t="shared" si="45"/>
        <v>0</v>
      </c>
    </row>
    <row r="102" spans="1:8">
      <c r="A102" s="9" t="str">
        <f t="shared" si="40"/>
        <v>Bengal Gram/Channa</v>
      </c>
      <c r="B102" s="9">
        <f t="shared" si="46"/>
        <v>0</v>
      </c>
      <c r="C102" s="99">
        <f t="shared" si="43"/>
        <v>0</v>
      </c>
      <c r="D102" s="99">
        <f t="shared" si="45"/>
        <v>0</v>
      </c>
      <c r="E102" s="99">
        <f t="shared" si="45"/>
        <v>0</v>
      </c>
      <c r="F102" s="99">
        <f t="shared" si="45"/>
        <v>0</v>
      </c>
      <c r="G102" s="99">
        <f t="shared" si="45"/>
        <v>0</v>
      </c>
      <c r="H102" s="99">
        <f t="shared" si="45"/>
        <v>0</v>
      </c>
    </row>
    <row r="103" spans="1:8">
      <c r="A103" s="9" t="str">
        <f t="shared" si="40"/>
        <v>Jawar</v>
      </c>
      <c r="B103" s="9">
        <f t="shared" si="46"/>
        <v>0</v>
      </c>
      <c r="C103" s="99">
        <f t="shared" si="43"/>
        <v>0</v>
      </c>
      <c r="D103" s="99">
        <f t="shared" si="45"/>
        <v>0</v>
      </c>
      <c r="E103" s="99">
        <f t="shared" si="45"/>
        <v>0</v>
      </c>
      <c r="F103" s="99">
        <f t="shared" si="45"/>
        <v>0</v>
      </c>
      <c r="G103" s="99">
        <f t="shared" si="45"/>
        <v>0</v>
      </c>
      <c r="H103" s="99">
        <f t="shared" si="45"/>
        <v>0</v>
      </c>
    </row>
    <row r="104" spans="1:8">
      <c r="A104" s="9" t="str">
        <f t="shared" si="40"/>
        <v>Maize</v>
      </c>
      <c r="B104" s="9">
        <f t="shared" si="46"/>
        <v>0</v>
      </c>
      <c r="C104" s="99">
        <f t="shared" si="43"/>
        <v>0</v>
      </c>
      <c r="D104" s="99">
        <f t="shared" ref="D104:H113" si="47">(C104/C$90)*D$90</f>
        <v>0</v>
      </c>
      <c r="E104" s="99">
        <f t="shared" si="47"/>
        <v>0</v>
      </c>
      <c r="F104" s="99">
        <f t="shared" si="47"/>
        <v>0</v>
      </c>
      <c r="G104" s="99">
        <f t="shared" si="47"/>
        <v>0</v>
      </c>
      <c r="H104" s="99">
        <f t="shared" si="47"/>
        <v>0</v>
      </c>
    </row>
    <row r="105" spans="1:8">
      <c r="A105" s="9" t="str">
        <f t="shared" si="40"/>
        <v>Safflower</v>
      </c>
      <c r="B105" s="9">
        <f t="shared" si="46"/>
        <v>0</v>
      </c>
      <c r="C105" s="99">
        <f t="shared" si="43"/>
        <v>0</v>
      </c>
      <c r="D105" s="99">
        <f t="shared" si="47"/>
        <v>0</v>
      </c>
      <c r="E105" s="99">
        <f t="shared" si="47"/>
        <v>0</v>
      </c>
      <c r="F105" s="99">
        <f t="shared" si="47"/>
        <v>0</v>
      </c>
      <c r="G105" s="99">
        <f t="shared" si="47"/>
        <v>0</v>
      </c>
      <c r="H105" s="99">
        <f t="shared" si="47"/>
        <v>0</v>
      </c>
    </row>
    <row r="106" spans="1:8">
      <c r="A106" s="9">
        <f t="shared" si="40"/>
        <v>0</v>
      </c>
      <c r="B106" s="9">
        <f t="shared" si="46"/>
        <v>0</v>
      </c>
      <c r="C106" s="99">
        <f t="shared" si="43"/>
        <v>0</v>
      </c>
      <c r="D106" s="99">
        <f t="shared" si="47"/>
        <v>0</v>
      </c>
      <c r="E106" s="99">
        <f t="shared" si="47"/>
        <v>0</v>
      </c>
      <c r="F106" s="99">
        <f t="shared" si="47"/>
        <v>0</v>
      </c>
      <c r="G106" s="99">
        <f t="shared" si="47"/>
        <v>0</v>
      </c>
      <c r="H106" s="99">
        <f t="shared" si="47"/>
        <v>0</v>
      </c>
    </row>
    <row r="107" spans="1:8">
      <c r="A107" s="9">
        <f t="shared" si="40"/>
        <v>0</v>
      </c>
      <c r="B107" s="9">
        <f t="shared" si="46"/>
        <v>0</v>
      </c>
      <c r="C107" s="99">
        <f t="shared" si="43"/>
        <v>0</v>
      </c>
      <c r="D107" s="99">
        <f t="shared" si="47"/>
        <v>0</v>
      </c>
      <c r="E107" s="99">
        <f t="shared" si="47"/>
        <v>0</v>
      </c>
      <c r="F107" s="99">
        <f t="shared" si="47"/>
        <v>0</v>
      </c>
      <c r="G107" s="99">
        <f t="shared" si="47"/>
        <v>0</v>
      </c>
      <c r="H107" s="99">
        <f t="shared" si="47"/>
        <v>0</v>
      </c>
    </row>
    <row r="108" spans="1:8">
      <c r="A108" s="9">
        <f t="shared" si="40"/>
        <v>0</v>
      </c>
      <c r="B108" s="9">
        <f t="shared" si="46"/>
        <v>0</v>
      </c>
      <c r="C108" s="99">
        <f t="shared" si="43"/>
        <v>0</v>
      </c>
      <c r="D108" s="99">
        <f t="shared" si="47"/>
        <v>0</v>
      </c>
      <c r="E108" s="99">
        <f t="shared" si="47"/>
        <v>0</v>
      </c>
      <c r="F108" s="99">
        <f t="shared" si="47"/>
        <v>0</v>
      </c>
      <c r="G108" s="99">
        <f t="shared" si="47"/>
        <v>0</v>
      </c>
      <c r="H108" s="99">
        <f t="shared" si="47"/>
        <v>0</v>
      </c>
    </row>
    <row r="109" spans="1:8">
      <c r="A109" s="9" t="str">
        <f t="shared" si="40"/>
        <v>Groundnut</v>
      </c>
      <c r="B109" s="9">
        <f>D33*$B$90</f>
        <v>0</v>
      </c>
      <c r="C109" s="99">
        <f t="shared" si="43"/>
        <v>0</v>
      </c>
      <c r="D109" s="99">
        <f t="shared" si="47"/>
        <v>0</v>
      </c>
      <c r="E109" s="99">
        <f t="shared" si="47"/>
        <v>0</v>
      </c>
      <c r="F109" s="99">
        <f t="shared" si="47"/>
        <v>0</v>
      </c>
      <c r="G109" s="99">
        <f t="shared" si="47"/>
        <v>0</v>
      </c>
      <c r="H109" s="99">
        <f t="shared" si="47"/>
        <v>0</v>
      </c>
    </row>
    <row r="110" spans="1:8">
      <c r="A110" s="9">
        <f t="shared" si="40"/>
        <v>0</v>
      </c>
      <c r="B110" s="9">
        <f>D34*$B$90</f>
        <v>0</v>
      </c>
      <c r="C110" s="99">
        <f t="shared" si="43"/>
        <v>0</v>
      </c>
      <c r="D110" s="99">
        <f t="shared" si="47"/>
        <v>0</v>
      </c>
      <c r="E110" s="99">
        <f t="shared" si="47"/>
        <v>0</v>
      </c>
      <c r="F110" s="99">
        <f t="shared" si="47"/>
        <v>0</v>
      </c>
      <c r="G110" s="99">
        <f t="shared" si="47"/>
        <v>0</v>
      </c>
      <c r="H110" s="99">
        <f t="shared" si="47"/>
        <v>0</v>
      </c>
    </row>
    <row r="111" spans="1:8">
      <c r="A111" s="9">
        <f t="shared" si="40"/>
        <v>0</v>
      </c>
      <c r="B111" s="9">
        <f>D34*$B$90</f>
        <v>0</v>
      </c>
      <c r="C111" s="99">
        <f t="shared" si="43"/>
        <v>0</v>
      </c>
      <c r="D111" s="99">
        <f t="shared" si="47"/>
        <v>0</v>
      </c>
      <c r="E111" s="99">
        <f t="shared" si="47"/>
        <v>0</v>
      </c>
      <c r="F111" s="99">
        <f t="shared" si="47"/>
        <v>0</v>
      </c>
      <c r="G111" s="99">
        <f t="shared" si="47"/>
        <v>0</v>
      </c>
      <c r="H111" s="99">
        <f t="shared" si="47"/>
        <v>0</v>
      </c>
    </row>
    <row r="112" spans="1:8">
      <c r="A112" s="9">
        <f t="shared" si="40"/>
        <v>0</v>
      </c>
      <c r="B112" s="9">
        <f>D36*$B$90</f>
        <v>0</v>
      </c>
      <c r="C112" s="99">
        <f t="shared" si="43"/>
        <v>0</v>
      </c>
      <c r="D112" s="99">
        <f t="shared" si="47"/>
        <v>0</v>
      </c>
      <c r="E112" s="99">
        <f t="shared" si="47"/>
        <v>0</v>
      </c>
      <c r="F112" s="99">
        <f t="shared" si="47"/>
        <v>0</v>
      </c>
      <c r="G112" s="99">
        <f t="shared" si="47"/>
        <v>0</v>
      </c>
      <c r="H112" s="99">
        <f t="shared" si="47"/>
        <v>0</v>
      </c>
    </row>
    <row r="113" spans="1:9">
      <c r="A113" s="9"/>
      <c r="B113" s="9">
        <f>D37*$B$90</f>
        <v>0</v>
      </c>
      <c r="C113" s="99">
        <f t="shared" si="43"/>
        <v>0</v>
      </c>
      <c r="D113" s="99">
        <f t="shared" si="47"/>
        <v>0</v>
      </c>
      <c r="E113" s="99">
        <f t="shared" si="47"/>
        <v>0</v>
      </c>
      <c r="F113" s="99">
        <f t="shared" si="47"/>
        <v>0</v>
      </c>
      <c r="G113" s="99">
        <f t="shared" si="47"/>
        <v>0</v>
      </c>
      <c r="H113" s="99">
        <f t="shared" si="47"/>
        <v>0</v>
      </c>
    </row>
    <row r="115" spans="1:9">
      <c r="C115" s="41"/>
      <c r="D115" s="48"/>
      <c r="E115" s="48"/>
      <c r="F115" s="48"/>
      <c r="G115" s="48"/>
      <c r="H115" s="48"/>
      <c r="I115" s="48"/>
    </row>
    <row r="116" spans="1:9">
      <c r="A116" s="1" t="s">
        <v>526</v>
      </c>
      <c r="C116" s="3"/>
      <c r="D116" s="3"/>
      <c r="E116" s="3"/>
      <c r="F116" s="3"/>
      <c r="G116" s="3"/>
      <c r="H116" s="3"/>
      <c r="I116" s="3"/>
    </row>
    <row r="117" spans="1:9">
      <c r="A117" s="1">
        <v>1</v>
      </c>
      <c r="B117" s="1" t="s">
        <v>527</v>
      </c>
    </row>
    <row r="118" spans="1:9">
      <c r="A118" s="1">
        <v>2</v>
      </c>
      <c r="B118" s="1" t="s">
        <v>528</v>
      </c>
    </row>
    <row r="119" spans="1:9">
      <c r="A119" s="1">
        <v>3</v>
      </c>
      <c r="B119" s="1" t="s">
        <v>529</v>
      </c>
    </row>
  </sheetData>
  <mergeCells count="12">
    <mergeCell ref="A90:A91"/>
    <mergeCell ref="A64:H64"/>
    <mergeCell ref="A89:H89"/>
    <mergeCell ref="A14:A22"/>
    <mergeCell ref="A24:A31"/>
    <mergeCell ref="A40:A41"/>
    <mergeCell ref="A65:A66"/>
    <mergeCell ref="A1:H1"/>
    <mergeCell ref="A3:B3"/>
    <mergeCell ref="A11:H11"/>
    <mergeCell ref="A37:H37"/>
    <mergeCell ref="A39:H39"/>
  </mergeCells>
  <pageMargins left="0.7" right="0.7" top="0.75" bottom="0.75" header="0.3" footer="0.3"/>
  <pageSetup scale="52" orientation="portrait" r:id="rId1"/>
  <colBreaks count="1" manualBreakCount="1">
    <brk id="8" max="113" man="1"/>
  </colBreaks>
</worksheet>
</file>

<file path=xl/worksheets/sheet12.xml><?xml version="1.0" encoding="utf-8"?>
<worksheet xmlns="http://schemas.openxmlformats.org/spreadsheetml/2006/main" xmlns:r="http://schemas.openxmlformats.org/officeDocument/2006/relationships">
  <dimension ref="A1:Z136"/>
  <sheetViews>
    <sheetView topLeftCell="A67" zoomScale="87" zoomScaleSheetLayoutView="100" workbookViewId="0">
      <selection activeCell="B73" sqref="B73"/>
    </sheetView>
  </sheetViews>
  <sheetFormatPr defaultColWidth="9" defaultRowHeight="15"/>
  <cols>
    <col min="1" max="1" width="44.28515625" style="220" customWidth="1"/>
    <col min="2" max="2" width="23.28515625" style="220" customWidth="1"/>
    <col min="3" max="3" width="11.5703125" style="220" customWidth="1"/>
    <col min="4" max="4" width="18.85546875" style="220" customWidth="1"/>
    <col min="5" max="5" width="15.140625" style="220" customWidth="1"/>
    <col min="6" max="7" width="15.85546875" style="220" customWidth="1"/>
    <col min="8" max="8" width="18" style="220" customWidth="1"/>
    <col min="9" max="9" width="11.42578125" style="220" customWidth="1"/>
    <col min="10" max="10" width="9.140625" style="220" customWidth="1"/>
    <col min="11" max="16384" width="9" style="220"/>
  </cols>
  <sheetData>
    <row r="1" spans="1:26">
      <c r="A1" s="415" t="s">
        <v>530</v>
      </c>
      <c r="B1" s="415"/>
      <c r="C1" s="415"/>
      <c r="D1" s="415"/>
      <c r="E1" s="415"/>
      <c r="F1" s="415"/>
      <c r="G1" s="415"/>
      <c r="H1" s="415"/>
    </row>
    <row r="2" spans="1:26">
      <c r="B2" s="254"/>
    </row>
    <row r="3" spans="1:26">
      <c r="A3" s="426" t="s">
        <v>531</v>
      </c>
      <c r="B3" s="426"/>
    </row>
    <row r="4" spans="1:26">
      <c r="A4" s="184" t="s">
        <v>145</v>
      </c>
      <c r="B4" s="185" t="s">
        <v>156</v>
      </c>
      <c r="C4" s="255"/>
      <c r="D4" s="255"/>
      <c r="E4" s="255"/>
      <c r="F4" s="255"/>
      <c r="G4" s="255"/>
      <c r="H4" s="255"/>
    </row>
    <row r="5" spans="1:26">
      <c r="A5" s="223" t="s">
        <v>532</v>
      </c>
      <c r="B5" s="256">
        <v>505</v>
      </c>
      <c r="C5" s="257"/>
      <c r="D5" s="258"/>
      <c r="E5" s="258"/>
      <c r="F5" s="258"/>
      <c r="G5" s="258"/>
      <c r="H5" s="258"/>
    </row>
    <row r="6" spans="1:26">
      <c r="A6" s="223" t="s">
        <v>533</v>
      </c>
      <c r="B6" s="256">
        <v>1000</v>
      </c>
      <c r="C6" s="257"/>
      <c r="D6" s="258"/>
      <c r="E6" s="258"/>
      <c r="F6" s="258"/>
      <c r="G6" s="258"/>
      <c r="H6" s="258"/>
    </row>
    <row r="7" spans="1:26">
      <c r="A7" s="234" t="s">
        <v>86</v>
      </c>
      <c r="B7" s="259">
        <f>B5+B6</f>
        <v>1505</v>
      </c>
      <c r="C7" s="260"/>
      <c r="D7" s="261"/>
      <c r="E7" s="261"/>
      <c r="F7" s="261"/>
      <c r="G7" s="261"/>
      <c r="H7" s="261"/>
    </row>
    <row r="8" spans="1:26">
      <c r="A8" s="234" t="s">
        <v>534</v>
      </c>
      <c r="B8" s="262">
        <v>2</v>
      </c>
      <c r="C8" s="260"/>
      <c r="D8" s="260"/>
      <c r="E8" s="260"/>
      <c r="F8" s="260"/>
      <c r="G8" s="260"/>
      <c r="H8" s="260"/>
    </row>
    <row r="9" spans="1:26">
      <c r="A9" s="234" t="s">
        <v>535</v>
      </c>
      <c r="B9" s="259">
        <f>B7*B8</f>
        <v>3010</v>
      </c>
      <c r="C9" s="261"/>
      <c r="D9" s="261"/>
      <c r="E9" s="261"/>
      <c r="F9" s="261"/>
      <c r="G9" s="261"/>
      <c r="H9" s="261"/>
    </row>
    <row r="10" spans="1:26">
      <c r="J10" s="220" t="s">
        <v>492</v>
      </c>
      <c r="O10" s="220" t="s">
        <v>317</v>
      </c>
      <c r="U10" s="220" t="s">
        <v>14</v>
      </c>
      <c r="Y10" s="220" t="s">
        <v>493</v>
      </c>
      <c r="Z10" s="220" t="s">
        <v>494</v>
      </c>
    </row>
    <row r="11" spans="1:26">
      <c r="A11" s="415" t="s">
        <v>536</v>
      </c>
      <c r="B11" s="415"/>
      <c r="C11" s="415"/>
      <c r="D11" s="415"/>
      <c r="E11" s="415"/>
      <c r="F11" s="415"/>
      <c r="G11" s="415"/>
      <c r="H11" s="415"/>
      <c r="I11" s="226"/>
      <c r="J11" s="226"/>
      <c r="K11" s="226"/>
      <c r="L11" s="226"/>
      <c r="M11" s="226"/>
      <c r="N11" s="226"/>
      <c r="O11" s="226"/>
      <c r="P11" s="226"/>
    </row>
    <row r="12" spans="1:26">
      <c r="J12" s="263">
        <v>0.65</v>
      </c>
      <c r="K12" s="264">
        <f>J12+0.05</f>
        <v>0.70000000000000007</v>
      </c>
      <c r="L12" s="264">
        <f t="shared" ref="L12:N12" si="0">K12+0.05</f>
        <v>0.75000000000000011</v>
      </c>
      <c r="M12" s="264">
        <f t="shared" si="0"/>
        <v>0.80000000000000016</v>
      </c>
      <c r="N12" s="264">
        <f t="shared" si="0"/>
        <v>0.8500000000000002</v>
      </c>
      <c r="O12" s="263">
        <v>0.4</v>
      </c>
      <c r="P12" s="263">
        <f>O12+0.05</f>
        <v>0.45</v>
      </c>
      <c r="Q12" s="263">
        <f t="shared" ref="Q12:T12" si="1">P12+0.05</f>
        <v>0.5</v>
      </c>
      <c r="R12" s="263">
        <f t="shared" si="1"/>
        <v>0.55000000000000004</v>
      </c>
      <c r="S12" s="263">
        <f t="shared" si="1"/>
        <v>0.60000000000000009</v>
      </c>
      <c r="T12" s="263">
        <f t="shared" si="1"/>
        <v>0.65000000000000013</v>
      </c>
      <c r="U12" s="263">
        <v>0.1</v>
      </c>
      <c r="V12" s="265">
        <f>U12+0.05</f>
        <v>0.15000000000000002</v>
      </c>
      <c r="W12" s="265">
        <f t="shared" ref="W12:X12" si="2">V12+0.05</f>
        <v>0.2</v>
      </c>
      <c r="X12" s="265">
        <f t="shared" si="2"/>
        <v>0.25</v>
      </c>
    </row>
    <row r="13" spans="1:26" ht="45">
      <c r="A13" s="184" t="s">
        <v>496</v>
      </c>
      <c r="B13" s="184" t="s">
        <v>497</v>
      </c>
      <c r="C13" s="266" t="s">
        <v>498</v>
      </c>
      <c r="D13" s="266" t="s">
        <v>499</v>
      </c>
      <c r="E13" s="266" t="s">
        <v>500</v>
      </c>
      <c r="F13" s="266" t="s">
        <v>501</v>
      </c>
      <c r="G13" s="266" t="s">
        <v>502</v>
      </c>
      <c r="H13" s="266" t="s">
        <v>503</v>
      </c>
      <c r="O13" s="267" t="s">
        <v>148</v>
      </c>
      <c r="P13" s="267" t="s">
        <v>149</v>
      </c>
      <c r="Q13" s="267" t="s">
        <v>150</v>
      </c>
      <c r="R13" s="267" t="s">
        <v>151</v>
      </c>
      <c r="S13" s="267" t="s">
        <v>152</v>
      </c>
      <c r="T13" s="267" t="s">
        <v>148</v>
      </c>
      <c r="U13" s="267" t="s">
        <v>149</v>
      </c>
      <c r="V13" s="267" t="s">
        <v>150</v>
      </c>
      <c r="W13" s="267" t="s">
        <v>151</v>
      </c>
      <c r="X13" s="267" t="s">
        <v>152</v>
      </c>
    </row>
    <row r="14" spans="1:26" hidden="1">
      <c r="A14" s="484" t="s">
        <v>504</v>
      </c>
      <c r="B14" s="249" t="s">
        <v>537</v>
      </c>
      <c r="C14" s="268">
        <v>0</v>
      </c>
      <c r="D14" s="222">
        <f t="shared" ref="D14:D40" si="3">$B$9*C14</f>
        <v>0</v>
      </c>
      <c r="E14" s="269">
        <v>15</v>
      </c>
      <c r="F14" s="222">
        <f>D14*E14</f>
        <v>0</v>
      </c>
      <c r="G14" s="221">
        <v>0.1</v>
      </c>
      <c r="H14" s="222">
        <f>(F14-F14*G14)</f>
        <v>0</v>
      </c>
      <c r="J14" s="220">
        <f>$D$14*J12</f>
        <v>0</v>
      </c>
      <c r="K14" s="220">
        <f>$D$14*K12</f>
        <v>0</v>
      </c>
      <c r="L14" s="220">
        <f>$D$14*L12</f>
        <v>0</v>
      </c>
      <c r="M14" s="220">
        <f>$D$14*M12</f>
        <v>0</v>
      </c>
      <c r="N14" s="220">
        <f>$D$14*N12</f>
        <v>0</v>
      </c>
    </row>
    <row r="15" spans="1:26" hidden="1">
      <c r="A15" s="485"/>
      <c r="B15" s="249" t="s">
        <v>538</v>
      </c>
      <c r="C15" s="268">
        <v>0</v>
      </c>
      <c r="D15" s="222">
        <f t="shared" si="3"/>
        <v>0</v>
      </c>
      <c r="E15" s="269">
        <v>7</v>
      </c>
      <c r="F15" s="222">
        <f t="shared" ref="F15:F40" si="4">D15*E15</f>
        <v>0</v>
      </c>
      <c r="G15" s="221">
        <v>0.05</v>
      </c>
      <c r="H15" s="222">
        <f>(F15-F15*G15)</f>
        <v>0</v>
      </c>
    </row>
    <row r="16" spans="1:26" hidden="1">
      <c r="A16" s="485"/>
      <c r="B16" s="249" t="s">
        <v>539</v>
      </c>
      <c r="C16" s="268">
        <v>0</v>
      </c>
      <c r="D16" s="222">
        <f t="shared" si="3"/>
        <v>0</v>
      </c>
      <c r="E16" s="269">
        <v>4</v>
      </c>
      <c r="F16" s="222">
        <f t="shared" si="4"/>
        <v>0</v>
      </c>
      <c r="G16" s="221">
        <v>0</v>
      </c>
      <c r="H16" s="222">
        <f t="shared" ref="H16:H40" si="5">(F16-F16*G16)</f>
        <v>0</v>
      </c>
    </row>
    <row r="17" spans="1:8" hidden="1">
      <c r="A17" s="485"/>
      <c r="B17" s="249" t="s">
        <v>540</v>
      </c>
      <c r="C17" s="268">
        <v>0</v>
      </c>
      <c r="D17" s="222">
        <f t="shared" si="3"/>
        <v>0</v>
      </c>
      <c r="E17" s="269">
        <v>7</v>
      </c>
      <c r="F17" s="222">
        <f t="shared" si="4"/>
        <v>0</v>
      </c>
      <c r="G17" s="221">
        <v>0.02</v>
      </c>
      <c r="H17" s="222">
        <f t="shared" si="5"/>
        <v>0</v>
      </c>
    </row>
    <row r="18" spans="1:8" hidden="1">
      <c r="A18" s="485"/>
      <c r="B18" s="249" t="s">
        <v>541</v>
      </c>
      <c r="C18" s="268">
        <v>0</v>
      </c>
      <c r="D18" s="222">
        <f t="shared" si="3"/>
        <v>0</v>
      </c>
      <c r="E18" s="269">
        <v>20</v>
      </c>
      <c r="F18" s="222">
        <f t="shared" si="4"/>
        <v>0</v>
      </c>
      <c r="G18" s="221">
        <v>0</v>
      </c>
      <c r="H18" s="222">
        <f t="shared" si="5"/>
        <v>0</v>
      </c>
    </row>
    <row r="19" spans="1:8" hidden="1">
      <c r="A19" s="485"/>
      <c r="B19" s="249"/>
      <c r="C19" s="268">
        <v>0</v>
      </c>
      <c r="D19" s="222">
        <f t="shared" si="3"/>
        <v>0</v>
      </c>
      <c r="E19" s="269">
        <v>7</v>
      </c>
      <c r="F19" s="222">
        <f t="shared" si="4"/>
        <v>0</v>
      </c>
      <c r="G19" s="221">
        <v>0.1</v>
      </c>
      <c r="H19" s="222">
        <f t="shared" si="5"/>
        <v>0</v>
      </c>
    </row>
    <row r="20" spans="1:8" hidden="1">
      <c r="A20" s="485"/>
      <c r="B20" s="249"/>
      <c r="C20" s="268">
        <v>0</v>
      </c>
      <c r="D20" s="222">
        <f t="shared" si="3"/>
        <v>0</v>
      </c>
      <c r="E20" s="269">
        <v>6</v>
      </c>
      <c r="F20" s="222">
        <f t="shared" si="4"/>
        <v>0</v>
      </c>
      <c r="G20" s="221">
        <v>0.02</v>
      </c>
      <c r="H20" s="222">
        <f t="shared" si="5"/>
        <v>0</v>
      </c>
    </row>
    <row r="21" spans="1:8" hidden="1">
      <c r="A21" s="485"/>
      <c r="B21" s="249"/>
      <c r="C21" s="268">
        <v>0</v>
      </c>
      <c r="D21" s="222">
        <f t="shared" si="3"/>
        <v>0</v>
      </c>
      <c r="E21" s="269"/>
      <c r="F21" s="222">
        <f t="shared" si="4"/>
        <v>0</v>
      </c>
      <c r="G21" s="221">
        <v>0</v>
      </c>
      <c r="H21" s="222">
        <f t="shared" si="5"/>
        <v>0</v>
      </c>
    </row>
    <row r="22" spans="1:8" hidden="1">
      <c r="A22" s="486"/>
      <c r="B22" s="249"/>
      <c r="C22" s="268">
        <v>0</v>
      </c>
      <c r="D22" s="222">
        <f t="shared" si="3"/>
        <v>0</v>
      </c>
      <c r="E22" s="269"/>
      <c r="F22" s="222">
        <f t="shared" si="4"/>
        <v>0</v>
      </c>
      <c r="G22" s="221">
        <v>0</v>
      </c>
      <c r="H22" s="222">
        <f t="shared" si="5"/>
        <v>0</v>
      </c>
    </row>
    <row r="23" spans="1:8" hidden="1">
      <c r="A23" s="131" t="s">
        <v>542</v>
      </c>
      <c r="B23" s="270">
        <v>0</v>
      </c>
      <c r="C23" s="271">
        <f>B9*B23</f>
        <v>0</v>
      </c>
      <c r="D23" s="222"/>
      <c r="E23" s="269"/>
      <c r="F23" s="222"/>
      <c r="G23" s="221"/>
      <c r="H23" s="222"/>
    </row>
    <row r="24" spans="1:8" hidden="1">
      <c r="A24" s="484" t="s">
        <v>515</v>
      </c>
      <c r="B24" s="249" t="s">
        <v>537</v>
      </c>
      <c r="C24" s="268">
        <v>0</v>
      </c>
      <c r="D24" s="222">
        <f>C$23*C24</f>
        <v>0</v>
      </c>
      <c r="E24" s="269">
        <v>10</v>
      </c>
      <c r="F24" s="222">
        <f t="shared" si="4"/>
        <v>0</v>
      </c>
      <c r="G24" s="221">
        <v>0.1</v>
      </c>
      <c r="H24" s="222">
        <f t="shared" si="5"/>
        <v>0</v>
      </c>
    </row>
    <row r="25" spans="1:8" hidden="1">
      <c r="A25" s="485"/>
      <c r="B25" s="249" t="s">
        <v>538</v>
      </c>
      <c r="C25" s="268">
        <v>0</v>
      </c>
      <c r="D25" s="222">
        <f>C$23*C25</f>
        <v>0</v>
      </c>
      <c r="E25" s="269">
        <v>10</v>
      </c>
      <c r="F25" s="222">
        <f t="shared" si="4"/>
        <v>0</v>
      </c>
      <c r="G25" s="221">
        <v>0.1</v>
      </c>
      <c r="H25" s="222">
        <f t="shared" si="5"/>
        <v>0</v>
      </c>
    </row>
    <row r="26" spans="1:8" hidden="1">
      <c r="A26" s="485"/>
      <c r="B26" s="249" t="s">
        <v>539</v>
      </c>
      <c r="C26" s="268">
        <v>0</v>
      </c>
      <c r="D26" s="222">
        <f>C$23*C26</f>
        <v>0</v>
      </c>
      <c r="E26" s="269">
        <v>10</v>
      </c>
      <c r="F26" s="222">
        <f t="shared" si="4"/>
        <v>0</v>
      </c>
      <c r="G26" s="221">
        <v>0.05</v>
      </c>
      <c r="H26" s="222">
        <f t="shared" si="5"/>
        <v>0</v>
      </c>
    </row>
    <row r="27" spans="1:8" hidden="1">
      <c r="A27" s="485"/>
      <c r="B27" s="249" t="s">
        <v>540</v>
      </c>
      <c r="C27" s="268">
        <v>0</v>
      </c>
      <c r="D27" s="222">
        <f t="shared" ref="D27:D31" si="6">C$23*C27</f>
        <v>0</v>
      </c>
      <c r="E27" s="269">
        <v>20</v>
      </c>
      <c r="F27" s="222">
        <f t="shared" si="4"/>
        <v>0</v>
      </c>
      <c r="G27" s="221">
        <v>0</v>
      </c>
      <c r="H27" s="222">
        <f t="shared" si="5"/>
        <v>0</v>
      </c>
    </row>
    <row r="28" spans="1:8" hidden="1">
      <c r="A28" s="485"/>
      <c r="B28" s="249" t="s">
        <v>543</v>
      </c>
      <c r="C28" s="268">
        <v>0</v>
      </c>
      <c r="D28" s="222">
        <f t="shared" si="6"/>
        <v>0</v>
      </c>
      <c r="E28" s="269"/>
      <c r="F28" s="222">
        <f t="shared" si="4"/>
        <v>0</v>
      </c>
      <c r="G28" s="221">
        <v>0</v>
      </c>
      <c r="H28" s="222">
        <f t="shared" si="5"/>
        <v>0</v>
      </c>
    </row>
    <row r="29" spans="1:8" hidden="1">
      <c r="A29" s="485"/>
      <c r="B29" s="249" t="s">
        <v>544</v>
      </c>
      <c r="C29" s="272">
        <v>0</v>
      </c>
      <c r="D29" s="222">
        <f t="shared" si="6"/>
        <v>0</v>
      </c>
      <c r="E29" s="269">
        <v>5</v>
      </c>
      <c r="F29" s="222">
        <f t="shared" si="4"/>
        <v>0</v>
      </c>
      <c r="G29" s="221">
        <v>0.02</v>
      </c>
      <c r="H29" s="222">
        <f t="shared" si="5"/>
        <v>0</v>
      </c>
    </row>
    <row r="30" spans="1:8" hidden="1">
      <c r="A30" s="485"/>
      <c r="B30" s="249"/>
      <c r="C30" s="268">
        <v>0</v>
      </c>
      <c r="D30" s="222">
        <f t="shared" si="6"/>
        <v>0</v>
      </c>
      <c r="E30" s="269"/>
      <c r="F30" s="222">
        <f t="shared" si="4"/>
        <v>0</v>
      </c>
      <c r="G30" s="221">
        <v>0</v>
      </c>
      <c r="H30" s="222">
        <f t="shared" si="5"/>
        <v>0</v>
      </c>
    </row>
    <row r="31" spans="1:8" hidden="1">
      <c r="A31" s="486"/>
      <c r="B31" s="249"/>
      <c r="C31" s="268">
        <v>0</v>
      </c>
      <c r="D31" s="222">
        <f t="shared" si="6"/>
        <v>0</v>
      </c>
      <c r="E31" s="269"/>
      <c r="F31" s="222">
        <f t="shared" si="4"/>
        <v>0</v>
      </c>
      <c r="G31" s="221">
        <v>0</v>
      </c>
      <c r="H31" s="222">
        <f t="shared" si="5"/>
        <v>0</v>
      </c>
    </row>
    <row r="32" spans="1:8" hidden="1">
      <c r="A32" s="131" t="s">
        <v>545</v>
      </c>
      <c r="B32" s="270"/>
      <c r="C32" s="249">
        <f>B9*B32</f>
        <v>0</v>
      </c>
      <c r="D32" s="222"/>
      <c r="E32" s="269"/>
      <c r="F32" s="222"/>
      <c r="G32" s="221"/>
      <c r="H32" s="222"/>
    </row>
    <row r="33" spans="1:8" hidden="1">
      <c r="A33" s="132" t="s">
        <v>520</v>
      </c>
      <c r="B33" s="249"/>
      <c r="C33" s="268">
        <v>0</v>
      </c>
      <c r="D33" s="222">
        <f>C$32*C33</f>
        <v>0</v>
      </c>
      <c r="E33" s="269"/>
      <c r="F33" s="222">
        <f t="shared" si="4"/>
        <v>0</v>
      </c>
      <c r="G33" s="221">
        <v>0</v>
      </c>
      <c r="H33" s="222">
        <f t="shared" si="5"/>
        <v>0</v>
      </c>
    </row>
    <row r="34" spans="1:8" hidden="1">
      <c r="A34" s="133"/>
      <c r="B34" s="249"/>
      <c r="C34" s="268">
        <v>0</v>
      </c>
      <c r="D34" s="222">
        <f>C$32*C34</f>
        <v>0</v>
      </c>
      <c r="E34" s="269"/>
      <c r="F34" s="222">
        <f t="shared" si="4"/>
        <v>0</v>
      </c>
      <c r="G34" s="221">
        <v>0</v>
      </c>
      <c r="H34" s="222">
        <f t="shared" si="5"/>
        <v>0</v>
      </c>
    </row>
    <row r="35" spans="1:8" hidden="1">
      <c r="A35" s="133"/>
      <c r="B35" s="249"/>
      <c r="C35" s="268">
        <v>0</v>
      </c>
      <c r="D35" s="222">
        <f>C$32*C35</f>
        <v>0</v>
      </c>
      <c r="E35" s="269"/>
      <c r="F35" s="222">
        <f t="shared" si="4"/>
        <v>0</v>
      </c>
      <c r="G35" s="221">
        <v>0</v>
      </c>
      <c r="H35" s="222">
        <f t="shared" si="5"/>
        <v>0</v>
      </c>
    </row>
    <row r="36" spans="1:8" hidden="1">
      <c r="A36" s="134"/>
      <c r="B36" s="249"/>
      <c r="C36" s="268">
        <v>0</v>
      </c>
      <c r="D36" s="222">
        <f>C$32*C36</f>
        <v>0</v>
      </c>
      <c r="E36" s="269"/>
      <c r="F36" s="222">
        <f t="shared" si="4"/>
        <v>0</v>
      </c>
      <c r="G36" s="221">
        <v>0</v>
      </c>
      <c r="H36" s="222">
        <f t="shared" si="5"/>
        <v>0</v>
      </c>
    </row>
    <row r="37" spans="1:8">
      <c r="A37" s="487" t="s">
        <v>546</v>
      </c>
      <c r="B37" s="249" t="s">
        <v>544</v>
      </c>
      <c r="C37" s="272">
        <v>0.7</v>
      </c>
      <c r="D37" s="222">
        <f t="shared" si="3"/>
        <v>2107</v>
      </c>
      <c r="E37" s="269">
        <v>8</v>
      </c>
      <c r="F37" s="222">
        <f t="shared" si="4"/>
        <v>16856</v>
      </c>
      <c r="G37" s="221">
        <v>0.01</v>
      </c>
      <c r="H37" s="222">
        <f t="shared" si="5"/>
        <v>16687.439999999999</v>
      </c>
    </row>
    <row r="38" spans="1:8" hidden="1">
      <c r="A38" s="487"/>
      <c r="B38" s="249" t="s">
        <v>547</v>
      </c>
      <c r="C38" s="268">
        <v>0</v>
      </c>
      <c r="D38" s="222">
        <f t="shared" si="3"/>
        <v>0</v>
      </c>
      <c r="E38" s="269"/>
      <c r="F38" s="222">
        <f t="shared" si="4"/>
        <v>0</v>
      </c>
      <c r="G38" s="221">
        <v>0</v>
      </c>
      <c r="H38" s="222">
        <f t="shared" si="5"/>
        <v>0</v>
      </c>
    </row>
    <row r="39" spans="1:8" hidden="1">
      <c r="A39" s="487"/>
      <c r="B39" s="249" t="s">
        <v>548</v>
      </c>
      <c r="C39" s="268">
        <v>0</v>
      </c>
      <c r="D39" s="222">
        <f t="shared" si="3"/>
        <v>0</v>
      </c>
      <c r="E39" s="269"/>
      <c r="F39" s="222">
        <f t="shared" si="4"/>
        <v>0</v>
      </c>
      <c r="G39" s="221">
        <v>0</v>
      </c>
      <c r="H39" s="222">
        <f t="shared" si="5"/>
        <v>0</v>
      </c>
    </row>
    <row r="40" spans="1:8" hidden="1">
      <c r="A40" s="487"/>
      <c r="B40" s="249" t="s">
        <v>549</v>
      </c>
      <c r="C40" s="268">
        <v>0</v>
      </c>
      <c r="D40" s="222">
        <f t="shared" si="3"/>
        <v>0</v>
      </c>
      <c r="E40" s="269"/>
      <c r="F40" s="222">
        <f t="shared" si="4"/>
        <v>0</v>
      </c>
      <c r="G40" s="221">
        <v>0</v>
      </c>
      <c r="H40" s="222">
        <f t="shared" si="5"/>
        <v>0</v>
      </c>
    </row>
    <row r="41" spans="1:8">
      <c r="A41" s="475" t="s">
        <v>522</v>
      </c>
      <c r="B41" s="475"/>
      <c r="C41" s="475"/>
      <c r="D41" s="475"/>
      <c r="E41" s="475"/>
      <c r="F41" s="475"/>
      <c r="G41" s="475"/>
      <c r="H41" s="475"/>
    </row>
    <row r="43" spans="1:8">
      <c r="A43" s="476" t="s">
        <v>550</v>
      </c>
      <c r="B43" s="477"/>
      <c r="C43" s="477"/>
      <c r="D43" s="477"/>
      <c r="E43" s="477"/>
      <c r="F43" s="477"/>
      <c r="G43" s="477"/>
      <c r="H43" s="478"/>
    </row>
    <row r="44" spans="1:8">
      <c r="A44" s="488" t="s">
        <v>145</v>
      </c>
      <c r="B44" s="273">
        <v>0.2</v>
      </c>
      <c r="C44" s="273">
        <f>B44+2%</f>
        <v>0.22</v>
      </c>
      <c r="D44" s="273">
        <f t="shared" ref="D44:H44" si="7">C44+2%</f>
        <v>0.24</v>
      </c>
      <c r="E44" s="273">
        <f t="shared" si="7"/>
        <v>0.26</v>
      </c>
      <c r="F44" s="273">
        <f t="shared" si="7"/>
        <v>0.28000000000000003</v>
      </c>
      <c r="G44" s="273">
        <f t="shared" si="7"/>
        <v>0.30000000000000004</v>
      </c>
      <c r="H44" s="273">
        <f t="shared" si="7"/>
        <v>0.32000000000000006</v>
      </c>
    </row>
    <row r="45" spans="1:8">
      <c r="A45" s="489"/>
      <c r="B45" s="185" t="s">
        <v>148</v>
      </c>
      <c r="C45" s="185" t="s">
        <v>149</v>
      </c>
      <c r="D45" s="185" t="s">
        <v>150</v>
      </c>
      <c r="E45" s="185" t="s">
        <v>151</v>
      </c>
      <c r="F45" s="185" t="s">
        <v>152</v>
      </c>
      <c r="G45" s="185" t="s">
        <v>153</v>
      </c>
      <c r="H45" s="185" t="s">
        <v>154</v>
      </c>
    </row>
    <row r="46" spans="1:8" hidden="1">
      <c r="A46" s="223" t="str">
        <f t="shared" ref="A46:A54" si="8">B14</f>
        <v>Onion</v>
      </c>
      <c r="B46" s="230">
        <f t="shared" ref="B46:B54" si="9">H14*$B$44</f>
        <v>0</v>
      </c>
      <c r="C46" s="230">
        <f t="shared" ref="C46:H61" si="10">(B46/B$44)*C$44</f>
        <v>0</v>
      </c>
      <c r="D46" s="230">
        <f t="shared" si="10"/>
        <v>0</v>
      </c>
      <c r="E46" s="230">
        <f t="shared" si="10"/>
        <v>0</v>
      </c>
      <c r="F46" s="230">
        <f t="shared" si="10"/>
        <v>0</v>
      </c>
      <c r="G46" s="230">
        <f t="shared" si="10"/>
        <v>0</v>
      </c>
      <c r="H46" s="230">
        <f t="shared" si="10"/>
        <v>0</v>
      </c>
    </row>
    <row r="47" spans="1:8" hidden="1">
      <c r="A47" s="223" t="str">
        <f t="shared" si="8"/>
        <v>Tomato</v>
      </c>
      <c r="B47" s="230">
        <f t="shared" si="9"/>
        <v>0</v>
      </c>
      <c r="C47" s="230">
        <f t="shared" si="10"/>
        <v>0</v>
      </c>
      <c r="D47" s="230">
        <f t="shared" si="10"/>
        <v>0</v>
      </c>
      <c r="E47" s="230">
        <f t="shared" si="10"/>
        <v>0</v>
      </c>
      <c r="F47" s="230">
        <f t="shared" si="10"/>
        <v>0</v>
      </c>
      <c r="G47" s="230">
        <f t="shared" si="10"/>
        <v>0</v>
      </c>
      <c r="H47" s="230">
        <f t="shared" si="10"/>
        <v>0</v>
      </c>
    </row>
    <row r="48" spans="1:8" hidden="1">
      <c r="A48" s="223" t="str">
        <f t="shared" si="8"/>
        <v>Okra</v>
      </c>
      <c r="B48" s="230">
        <f t="shared" si="9"/>
        <v>0</v>
      </c>
      <c r="C48" s="230">
        <f t="shared" si="10"/>
        <v>0</v>
      </c>
      <c r="D48" s="230">
        <f t="shared" si="10"/>
        <v>0</v>
      </c>
      <c r="E48" s="230">
        <f t="shared" si="10"/>
        <v>0</v>
      </c>
      <c r="F48" s="230">
        <f t="shared" si="10"/>
        <v>0</v>
      </c>
      <c r="G48" s="230">
        <f t="shared" si="10"/>
        <v>0</v>
      </c>
      <c r="H48" s="230">
        <f t="shared" si="10"/>
        <v>0</v>
      </c>
    </row>
    <row r="49" spans="1:8" hidden="1">
      <c r="A49" s="223" t="str">
        <f t="shared" si="8"/>
        <v>Chilli</v>
      </c>
      <c r="B49" s="230">
        <f t="shared" si="9"/>
        <v>0</v>
      </c>
      <c r="C49" s="230">
        <f t="shared" si="10"/>
        <v>0</v>
      </c>
      <c r="D49" s="230">
        <f t="shared" si="10"/>
        <v>0</v>
      </c>
      <c r="E49" s="230">
        <f t="shared" si="10"/>
        <v>0</v>
      </c>
      <c r="F49" s="230">
        <f t="shared" si="10"/>
        <v>0</v>
      </c>
      <c r="G49" s="230">
        <f t="shared" si="10"/>
        <v>0</v>
      </c>
      <c r="H49" s="230">
        <f t="shared" si="10"/>
        <v>0</v>
      </c>
    </row>
    <row r="50" spans="1:8" hidden="1">
      <c r="A50" s="223" t="str">
        <f t="shared" si="8"/>
        <v>Potato</v>
      </c>
      <c r="B50" s="230">
        <f t="shared" si="9"/>
        <v>0</v>
      </c>
      <c r="C50" s="230">
        <f t="shared" si="10"/>
        <v>0</v>
      </c>
      <c r="D50" s="230">
        <f t="shared" si="10"/>
        <v>0</v>
      </c>
      <c r="E50" s="230">
        <f t="shared" si="10"/>
        <v>0</v>
      </c>
      <c r="F50" s="230">
        <f t="shared" si="10"/>
        <v>0</v>
      </c>
      <c r="G50" s="230">
        <f t="shared" si="10"/>
        <v>0</v>
      </c>
      <c r="H50" s="230">
        <f t="shared" si="10"/>
        <v>0</v>
      </c>
    </row>
    <row r="51" spans="1:8" hidden="1">
      <c r="A51" s="223">
        <f t="shared" si="8"/>
        <v>0</v>
      </c>
      <c r="B51" s="230">
        <f t="shared" si="9"/>
        <v>0</v>
      </c>
      <c r="C51" s="230">
        <f t="shared" si="10"/>
        <v>0</v>
      </c>
      <c r="D51" s="230">
        <f t="shared" si="10"/>
        <v>0</v>
      </c>
      <c r="E51" s="230">
        <f t="shared" si="10"/>
        <v>0</v>
      </c>
      <c r="F51" s="230">
        <f t="shared" si="10"/>
        <v>0</v>
      </c>
      <c r="G51" s="230">
        <f t="shared" si="10"/>
        <v>0</v>
      </c>
      <c r="H51" s="230">
        <f t="shared" si="10"/>
        <v>0</v>
      </c>
    </row>
    <row r="52" spans="1:8" hidden="1">
      <c r="A52" s="223">
        <f t="shared" si="8"/>
        <v>0</v>
      </c>
      <c r="B52" s="230">
        <f t="shared" si="9"/>
        <v>0</v>
      </c>
      <c r="C52" s="230">
        <f t="shared" si="10"/>
        <v>0</v>
      </c>
      <c r="D52" s="230">
        <f t="shared" si="10"/>
        <v>0</v>
      </c>
      <c r="E52" s="230">
        <f t="shared" si="10"/>
        <v>0</v>
      </c>
      <c r="F52" s="230">
        <f t="shared" si="10"/>
        <v>0</v>
      </c>
      <c r="G52" s="230">
        <f t="shared" si="10"/>
        <v>0</v>
      </c>
      <c r="H52" s="230">
        <f t="shared" si="10"/>
        <v>0</v>
      </c>
    </row>
    <row r="53" spans="1:8" hidden="1">
      <c r="A53" s="223">
        <f t="shared" si="8"/>
        <v>0</v>
      </c>
      <c r="B53" s="230">
        <f t="shared" si="9"/>
        <v>0</v>
      </c>
      <c r="C53" s="230">
        <f t="shared" si="10"/>
        <v>0</v>
      </c>
      <c r="D53" s="230">
        <f t="shared" si="10"/>
        <v>0</v>
      </c>
      <c r="E53" s="230">
        <f t="shared" si="10"/>
        <v>0</v>
      </c>
      <c r="F53" s="230">
        <f t="shared" si="10"/>
        <v>0</v>
      </c>
      <c r="G53" s="230">
        <f t="shared" si="10"/>
        <v>0</v>
      </c>
      <c r="H53" s="230">
        <f t="shared" si="10"/>
        <v>0</v>
      </c>
    </row>
    <row r="54" spans="1:8" hidden="1">
      <c r="A54" s="223">
        <f t="shared" si="8"/>
        <v>0</v>
      </c>
      <c r="B54" s="230">
        <f t="shared" si="9"/>
        <v>0</v>
      </c>
      <c r="C54" s="230">
        <f t="shared" si="10"/>
        <v>0</v>
      </c>
      <c r="D54" s="230">
        <f t="shared" si="10"/>
        <v>0</v>
      </c>
      <c r="E54" s="230">
        <f t="shared" si="10"/>
        <v>0</v>
      </c>
      <c r="F54" s="230">
        <f t="shared" si="10"/>
        <v>0</v>
      </c>
      <c r="G54" s="230">
        <f t="shared" si="10"/>
        <v>0</v>
      </c>
      <c r="H54" s="230">
        <f t="shared" si="10"/>
        <v>0</v>
      </c>
    </row>
    <row r="55" spans="1:8" hidden="1">
      <c r="A55" s="223" t="str">
        <f t="shared" ref="A55:A62" si="11">B24</f>
        <v>Onion</v>
      </c>
      <c r="B55" s="230">
        <f t="shared" ref="B55:B61" si="12">H24*$B$44</f>
        <v>0</v>
      </c>
      <c r="C55" s="230">
        <f t="shared" si="10"/>
        <v>0</v>
      </c>
      <c r="D55" s="230">
        <f t="shared" si="10"/>
        <v>0</v>
      </c>
      <c r="E55" s="230">
        <f t="shared" si="10"/>
        <v>0</v>
      </c>
      <c r="F55" s="230">
        <f t="shared" si="10"/>
        <v>0</v>
      </c>
      <c r="G55" s="230">
        <f t="shared" si="10"/>
        <v>0</v>
      </c>
      <c r="H55" s="230">
        <f t="shared" si="10"/>
        <v>0</v>
      </c>
    </row>
    <row r="56" spans="1:8" hidden="1">
      <c r="A56" s="223" t="str">
        <f t="shared" si="11"/>
        <v>Tomato</v>
      </c>
      <c r="B56" s="230">
        <f t="shared" si="12"/>
        <v>0</v>
      </c>
      <c r="C56" s="230">
        <f t="shared" si="10"/>
        <v>0</v>
      </c>
      <c r="D56" s="230">
        <f t="shared" si="10"/>
        <v>0</v>
      </c>
      <c r="E56" s="230">
        <f t="shared" si="10"/>
        <v>0</v>
      </c>
      <c r="F56" s="230">
        <f t="shared" si="10"/>
        <v>0</v>
      </c>
      <c r="G56" s="230">
        <f t="shared" si="10"/>
        <v>0</v>
      </c>
      <c r="H56" s="230">
        <f t="shared" si="10"/>
        <v>0</v>
      </c>
    </row>
    <row r="57" spans="1:8" hidden="1">
      <c r="A57" s="223" t="str">
        <f t="shared" si="11"/>
        <v>Okra</v>
      </c>
      <c r="B57" s="230">
        <f t="shared" si="12"/>
        <v>0</v>
      </c>
      <c r="C57" s="230">
        <f t="shared" si="10"/>
        <v>0</v>
      </c>
      <c r="D57" s="230">
        <f t="shared" si="10"/>
        <v>0</v>
      </c>
      <c r="E57" s="230">
        <f t="shared" si="10"/>
        <v>0</v>
      </c>
      <c r="F57" s="230">
        <f t="shared" si="10"/>
        <v>0</v>
      </c>
      <c r="G57" s="230">
        <f t="shared" si="10"/>
        <v>0</v>
      </c>
      <c r="H57" s="230">
        <f t="shared" si="10"/>
        <v>0</v>
      </c>
    </row>
    <row r="58" spans="1:8" hidden="1">
      <c r="A58" s="223" t="str">
        <f t="shared" si="11"/>
        <v>Chilli</v>
      </c>
      <c r="B58" s="230">
        <f t="shared" si="12"/>
        <v>0</v>
      </c>
      <c r="C58" s="230">
        <f t="shared" si="10"/>
        <v>0</v>
      </c>
      <c r="D58" s="230">
        <f t="shared" si="10"/>
        <v>0</v>
      </c>
      <c r="E58" s="230">
        <f t="shared" si="10"/>
        <v>0</v>
      </c>
      <c r="F58" s="230">
        <f t="shared" si="10"/>
        <v>0</v>
      </c>
      <c r="G58" s="230">
        <f t="shared" si="10"/>
        <v>0</v>
      </c>
      <c r="H58" s="230">
        <f t="shared" si="10"/>
        <v>0</v>
      </c>
    </row>
    <row r="59" spans="1:8" hidden="1">
      <c r="A59" s="223" t="str">
        <f t="shared" si="11"/>
        <v>Brinjal</v>
      </c>
      <c r="B59" s="230">
        <f t="shared" si="12"/>
        <v>0</v>
      </c>
      <c r="C59" s="230">
        <f t="shared" si="10"/>
        <v>0</v>
      </c>
      <c r="D59" s="230">
        <f t="shared" si="10"/>
        <v>0</v>
      </c>
      <c r="E59" s="230">
        <f t="shared" si="10"/>
        <v>0</v>
      </c>
      <c r="F59" s="230">
        <f t="shared" si="10"/>
        <v>0</v>
      </c>
      <c r="G59" s="230">
        <f t="shared" si="10"/>
        <v>0</v>
      </c>
      <c r="H59" s="230">
        <f t="shared" si="10"/>
        <v>0</v>
      </c>
    </row>
    <row r="60" spans="1:8" hidden="1">
      <c r="A60" s="223" t="str">
        <f t="shared" si="11"/>
        <v>Cashew</v>
      </c>
      <c r="B60" s="230">
        <f t="shared" si="12"/>
        <v>0</v>
      </c>
      <c r="C60" s="230">
        <f t="shared" si="10"/>
        <v>0</v>
      </c>
      <c r="D60" s="230">
        <f t="shared" si="10"/>
        <v>0</v>
      </c>
      <c r="E60" s="230">
        <f t="shared" si="10"/>
        <v>0</v>
      </c>
      <c r="F60" s="230">
        <f t="shared" si="10"/>
        <v>0</v>
      </c>
      <c r="G60" s="230">
        <f t="shared" si="10"/>
        <v>0</v>
      </c>
      <c r="H60" s="230">
        <f t="shared" si="10"/>
        <v>0</v>
      </c>
    </row>
    <row r="61" spans="1:8" hidden="1">
      <c r="A61" s="223">
        <f t="shared" si="11"/>
        <v>0</v>
      </c>
      <c r="B61" s="230">
        <f t="shared" si="12"/>
        <v>0</v>
      </c>
      <c r="C61" s="230">
        <f t="shared" si="10"/>
        <v>0</v>
      </c>
      <c r="D61" s="230">
        <f t="shared" si="10"/>
        <v>0</v>
      </c>
      <c r="E61" s="230">
        <f t="shared" si="10"/>
        <v>0</v>
      </c>
      <c r="F61" s="230">
        <f t="shared" si="10"/>
        <v>0</v>
      </c>
      <c r="G61" s="230">
        <f t="shared" si="10"/>
        <v>0</v>
      </c>
      <c r="H61" s="230">
        <f t="shared" si="10"/>
        <v>0</v>
      </c>
    </row>
    <row r="62" spans="1:8" hidden="1">
      <c r="A62" s="223">
        <f t="shared" si="11"/>
        <v>0</v>
      </c>
      <c r="B62" s="230">
        <f t="shared" ref="B62" si="13">H31*$B$44</f>
        <v>0</v>
      </c>
      <c r="C62" s="230">
        <f t="shared" ref="C62:H70" si="14">(B62/B$44)*C$44</f>
        <v>0</v>
      </c>
      <c r="D62" s="230">
        <f t="shared" si="14"/>
        <v>0</v>
      </c>
      <c r="E62" s="230">
        <f t="shared" si="14"/>
        <v>0</v>
      </c>
      <c r="F62" s="230">
        <f t="shared" si="14"/>
        <v>0</v>
      </c>
      <c r="G62" s="230">
        <f t="shared" si="14"/>
        <v>0</v>
      </c>
      <c r="H62" s="230">
        <f t="shared" si="14"/>
        <v>0</v>
      </c>
    </row>
    <row r="63" spans="1:8" hidden="1">
      <c r="A63" s="223">
        <f t="shared" ref="A63:A67" si="15">B33</f>
        <v>0</v>
      </c>
      <c r="B63" s="230">
        <f t="shared" ref="B63:B70" si="16">H33*$B$44</f>
        <v>0</v>
      </c>
      <c r="C63" s="230">
        <f t="shared" si="14"/>
        <v>0</v>
      </c>
      <c r="D63" s="230">
        <f t="shared" ref="D63:D66" si="17">(C63/C$44)*D$44</f>
        <v>0</v>
      </c>
      <c r="E63" s="230">
        <f t="shared" ref="E63:E66" si="18">(D63/D$44)*E$44</f>
        <v>0</v>
      </c>
      <c r="F63" s="230">
        <f t="shared" ref="F63:F66" si="19">(E63/E$44)*F$44</f>
        <v>0</v>
      </c>
      <c r="G63" s="230">
        <f t="shared" ref="G63:G66" si="20">(F63/F$44)*G$44</f>
        <v>0</v>
      </c>
      <c r="H63" s="230">
        <f t="shared" ref="H63:H66" si="21">(G63/G$44)*H$44</f>
        <v>0</v>
      </c>
    </row>
    <row r="64" spans="1:8" hidden="1">
      <c r="A64" s="223">
        <f t="shared" si="15"/>
        <v>0</v>
      </c>
      <c r="B64" s="230">
        <f t="shared" si="16"/>
        <v>0</v>
      </c>
      <c r="C64" s="230">
        <f t="shared" si="14"/>
        <v>0</v>
      </c>
      <c r="D64" s="230">
        <f t="shared" si="17"/>
        <v>0</v>
      </c>
      <c r="E64" s="230">
        <f t="shared" si="18"/>
        <v>0</v>
      </c>
      <c r="F64" s="230">
        <f t="shared" si="19"/>
        <v>0</v>
      </c>
      <c r="G64" s="230">
        <f t="shared" si="20"/>
        <v>0</v>
      </c>
      <c r="H64" s="230">
        <f t="shared" si="21"/>
        <v>0</v>
      </c>
    </row>
    <row r="65" spans="1:8" hidden="1">
      <c r="A65" s="223">
        <f t="shared" si="15"/>
        <v>0</v>
      </c>
      <c r="B65" s="230">
        <f t="shared" si="16"/>
        <v>0</v>
      </c>
      <c r="C65" s="230">
        <f t="shared" si="14"/>
        <v>0</v>
      </c>
      <c r="D65" s="230">
        <f t="shared" si="17"/>
        <v>0</v>
      </c>
      <c r="E65" s="230">
        <f t="shared" si="18"/>
        <v>0</v>
      </c>
      <c r="F65" s="230">
        <f t="shared" si="19"/>
        <v>0</v>
      </c>
      <c r="G65" s="230">
        <f t="shared" si="20"/>
        <v>0</v>
      </c>
      <c r="H65" s="230">
        <f t="shared" si="21"/>
        <v>0</v>
      </c>
    </row>
    <row r="66" spans="1:8" hidden="1">
      <c r="A66" s="223">
        <f t="shared" si="15"/>
        <v>0</v>
      </c>
      <c r="B66" s="230">
        <f t="shared" si="16"/>
        <v>0</v>
      </c>
      <c r="C66" s="230">
        <f t="shared" si="14"/>
        <v>0</v>
      </c>
      <c r="D66" s="230">
        <f t="shared" si="17"/>
        <v>0</v>
      </c>
      <c r="E66" s="230">
        <f t="shared" si="18"/>
        <v>0</v>
      </c>
      <c r="F66" s="230">
        <f t="shared" si="19"/>
        <v>0</v>
      </c>
      <c r="G66" s="230">
        <f t="shared" si="20"/>
        <v>0</v>
      </c>
      <c r="H66" s="230">
        <f t="shared" si="21"/>
        <v>0</v>
      </c>
    </row>
    <row r="67" spans="1:8">
      <c r="A67" s="223" t="str">
        <f t="shared" si="15"/>
        <v>Cashew</v>
      </c>
      <c r="B67" s="230">
        <f>H37*$B$44*0</f>
        <v>0</v>
      </c>
      <c r="C67" s="230">
        <f t="shared" si="14"/>
        <v>0</v>
      </c>
      <c r="D67" s="230">
        <f t="shared" si="14"/>
        <v>0</v>
      </c>
      <c r="E67" s="230">
        <f t="shared" si="14"/>
        <v>0</v>
      </c>
      <c r="F67" s="230">
        <f t="shared" si="14"/>
        <v>0</v>
      </c>
      <c r="G67" s="230">
        <f t="shared" si="14"/>
        <v>0</v>
      </c>
      <c r="H67" s="230">
        <f t="shared" si="14"/>
        <v>0</v>
      </c>
    </row>
    <row r="68" spans="1:8" hidden="1">
      <c r="A68" s="223" t="str">
        <f t="shared" ref="A68:A70" si="22">B38</f>
        <v>Custard Apple</v>
      </c>
      <c r="B68" s="230">
        <f t="shared" si="16"/>
        <v>0</v>
      </c>
      <c r="C68" s="230">
        <f t="shared" si="14"/>
        <v>0</v>
      </c>
      <c r="D68" s="230">
        <f t="shared" si="14"/>
        <v>0</v>
      </c>
      <c r="E68" s="230">
        <f t="shared" si="14"/>
        <v>0</v>
      </c>
      <c r="F68" s="230">
        <f t="shared" si="14"/>
        <v>0</v>
      </c>
      <c r="G68" s="230">
        <f t="shared" si="14"/>
        <v>0</v>
      </c>
      <c r="H68" s="230">
        <f t="shared" si="14"/>
        <v>0</v>
      </c>
    </row>
    <row r="69" spans="1:8" hidden="1">
      <c r="A69" s="223" t="str">
        <f t="shared" si="22"/>
        <v>Guava</v>
      </c>
      <c r="B69" s="230">
        <f t="shared" si="16"/>
        <v>0</v>
      </c>
      <c r="C69" s="230">
        <f t="shared" si="14"/>
        <v>0</v>
      </c>
      <c r="D69" s="230">
        <f t="shared" si="14"/>
        <v>0</v>
      </c>
      <c r="E69" s="230">
        <f t="shared" si="14"/>
        <v>0</v>
      </c>
      <c r="F69" s="230">
        <f t="shared" si="14"/>
        <v>0</v>
      </c>
      <c r="G69" s="230">
        <f t="shared" si="14"/>
        <v>0</v>
      </c>
      <c r="H69" s="230">
        <f t="shared" si="14"/>
        <v>0</v>
      </c>
    </row>
    <row r="70" spans="1:8" hidden="1">
      <c r="A70" s="223" t="str">
        <f t="shared" si="22"/>
        <v>Citrus</v>
      </c>
      <c r="B70" s="230">
        <f t="shared" si="16"/>
        <v>0</v>
      </c>
      <c r="C70" s="230">
        <f t="shared" si="14"/>
        <v>0</v>
      </c>
      <c r="D70" s="230">
        <f t="shared" si="14"/>
        <v>0</v>
      </c>
      <c r="E70" s="230">
        <f t="shared" ref="E70" si="23">(D70/D$44)*E$44</f>
        <v>0</v>
      </c>
      <c r="F70" s="230">
        <f t="shared" ref="F70" si="24">(E70/E$44)*F$44</f>
        <v>0</v>
      </c>
      <c r="G70" s="230">
        <f t="shared" ref="G70:H70" si="25">(F70/F$44)*G$44</f>
        <v>0</v>
      </c>
      <c r="H70" s="230">
        <f t="shared" si="25"/>
        <v>0</v>
      </c>
    </row>
    <row r="71" spans="1:8">
      <c r="A71" s="481" t="s">
        <v>551</v>
      </c>
      <c r="B71" s="482"/>
      <c r="C71" s="482"/>
      <c r="D71" s="482"/>
      <c r="E71" s="482"/>
      <c r="F71" s="482"/>
      <c r="G71" s="482"/>
      <c r="H71" s="483"/>
    </row>
    <row r="72" spans="1:8">
      <c r="A72" s="490" t="s">
        <v>145</v>
      </c>
      <c r="B72" s="274">
        <v>0.6</v>
      </c>
      <c r="C72" s="275">
        <f>B72+5%</f>
        <v>0.65</v>
      </c>
      <c r="D72" s="275">
        <f t="shared" ref="D72:H72" si="26">C72+5%</f>
        <v>0.70000000000000007</v>
      </c>
      <c r="E72" s="275">
        <f t="shared" si="26"/>
        <v>0.75000000000000011</v>
      </c>
      <c r="F72" s="275">
        <f t="shared" si="26"/>
        <v>0.80000000000000016</v>
      </c>
      <c r="G72" s="275">
        <f t="shared" si="26"/>
        <v>0.8500000000000002</v>
      </c>
      <c r="H72" s="275">
        <f t="shared" si="26"/>
        <v>0.90000000000000024</v>
      </c>
    </row>
    <row r="73" spans="1:8">
      <c r="A73" s="491"/>
      <c r="B73" s="185" t="s">
        <v>148</v>
      </c>
      <c r="C73" s="185" t="s">
        <v>149</v>
      </c>
      <c r="D73" s="185" t="s">
        <v>150</v>
      </c>
      <c r="E73" s="185" t="s">
        <v>151</v>
      </c>
      <c r="F73" s="185" t="s">
        <v>152</v>
      </c>
      <c r="G73" s="185" t="s">
        <v>153</v>
      </c>
      <c r="H73" s="185" t="s">
        <v>154</v>
      </c>
    </row>
    <row r="74" spans="1:8" s="276" customFormat="1" hidden="1">
      <c r="A74" s="223" t="str">
        <f t="shared" ref="A74:A98" si="27">A46</f>
        <v>Onion</v>
      </c>
      <c r="B74" s="222">
        <f t="shared" ref="B74:H74" si="28">H14*$B$72</f>
        <v>0</v>
      </c>
      <c r="C74" s="222">
        <f t="shared" si="28"/>
        <v>0</v>
      </c>
      <c r="D74" s="222">
        <f t="shared" si="28"/>
        <v>0</v>
      </c>
      <c r="E74" s="222">
        <f t="shared" si="28"/>
        <v>0</v>
      </c>
      <c r="F74" s="222">
        <f t="shared" si="28"/>
        <v>0</v>
      </c>
      <c r="G74" s="222">
        <f t="shared" si="28"/>
        <v>0</v>
      </c>
      <c r="H74" s="222">
        <f t="shared" si="28"/>
        <v>0</v>
      </c>
    </row>
    <row r="75" spans="1:8" hidden="1">
      <c r="A75" s="223" t="str">
        <f t="shared" si="27"/>
        <v>Tomato</v>
      </c>
      <c r="B75" s="222">
        <f>H15*$B$72*0</f>
        <v>0</v>
      </c>
      <c r="C75" s="222">
        <f>(B75/B72)*C72</f>
        <v>0</v>
      </c>
      <c r="D75" s="222">
        <f t="shared" ref="D75:H75" si="29">(C75/C72)*D72</f>
        <v>0</v>
      </c>
      <c r="E75" s="222">
        <f t="shared" si="29"/>
        <v>0</v>
      </c>
      <c r="F75" s="222">
        <f t="shared" si="29"/>
        <v>0</v>
      </c>
      <c r="G75" s="222">
        <f t="shared" si="29"/>
        <v>0</v>
      </c>
      <c r="H75" s="222">
        <f t="shared" si="29"/>
        <v>0</v>
      </c>
    </row>
    <row r="76" spans="1:8" hidden="1">
      <c r="A76" s="223" t="str">
        <f t="shared" si="27"/>
        <v>Okra</v>
      </c>
      <c r="B76" s="222">
        <f t="shared" ref="B76:B82" si="30">H16*$B$72</f>
        <v>0</v>
      </c>
      <c r="C76" s="222">
        <f>(B76/B72)*C72</f>
        <v>0</v>
      </c>
      <c r="D76" s="222">
        <f>(C76/C72)*D72</f>
        <v>0</v>
      </c>
      <c r="E76" s="222">
        <f t="shared" ref="E76:H76" si="31">(D76/D72)*E72</f>
        <v>0</v>
      </c>
      <c r="F76" s="222">
        <f t="shared" si="31"/>
        <v>0</v>
      </c>
      <c r="G76" s="222">
        <f t="shared" si="31"/>
        <v>0</v>
      </c>
      <c r="H76" s="222">
        <f t="shared" si="31"/>
        <v>0</v>
      </c>
    </row>
    <row r="77" spans="1:8" hidden="1">
      <c r="A77" s="223" t="str">
        <f t="shared" si="27"/>
        <v>Chilli</v>
      </c>
      <c r="B77" s="222">
        <f>H17*$B$72*0</f>
        <v>0</v>
      </c>
      <c r="C77" s="222">
        <f t="shared" ref="C77:H95" si="32">(B77/B$72)*C$72</f>
        <v>0</v>
      </c>
      <c r="D77" s="222">
        <f t="shared" si="32"/>
        <v>0</v>
      </c>
      <c r="E77" s="222">
        <f t="shared" si="32"/>
        <v>0</v>
      </c>
      <c r="F77" s="222">
        <f t="shared" si="32"/>
        <v>0</v>
      </c>
      <c r="G77" s="222">
        <f t="shared" si="32"/>
        <v>0</v>
      </c>
      <c r="H77" s="222">
        <f t="shared" si="32"/>
        <v>0</v>
      </c>
    </row>
    <row r="78" spans="1:8" hidden="1">
      <c r="A78" s="223" t="str">
        <f t="shared" si="27"/>
        <v>Potato</v>
      </c>
      <c r="B78" s="222">
        <f t="shared" si="30"/>
        <v>0</v>
      </c>
      <c r="C78" s="222">
        <f t="shared" si="32"/>
        <v>0</v>
      </c>
      <c r="D78" s="222">
        <f t="shared" si="32"/>
        <v>0</v>
      </c>
      <c r="E78" s="222">
        <f t="shared" si="32"/>
        <v>0</v>
      </c>
      <c r="F78" s="222">
        <f t="shared" si="32"/>
        <v>0</v>
      </c>
      <c r="G78" s="222">
        <f t="shared" si="32"/>
        <v>0</v>
      </c>
      <c r="H78" s="222">
        <f t="shared" si="32"/>
        <v>0</v>
      </c>
    </row>
    <row r="79" spans="1:8" hidden="1">
      <c r="A79" s="223">
        <f t="shared" si="27"/>
        <v>0</v>
      </c>
      <c r="B79" s="222">
        <f>H19*$B$72*0</f>
        <v>0</v>
      </c>
      <c r="C79" s="222">
        <f t="shared" si="32"/>
        <v>0</v>
      </c>
      <c r="D79" s="222">
        <f t="shared" si="32"/>
        <v>0</v>
      </c>
      <c r="E79" s="222">
        <f t="shared" si="32"/>
        <v>0</v>
      </c>
      <c r="F79" s="222">
        <f t="shared" si="32"/>
        <v>0</v>
      </c>
      <c r="G79" s="222">
        <f t="shared" si="32"/>
        <v>0</v>
      </c>
      <c r="H79" s="222">
        <f t="shared" si="32"/>
        <v>0</v>
      </c>
    </row>
    <row r="80" spans="1:8" hidden="1">
      <c r="A80" s="223">
        <f t="shared" si="27"/>
        <v>0</v>
      </c>
      <c r="B80" s="222">
        <f>H20*$B$72*0</f>
        <v>0</v>
      </c>
      <c r="C80" s="222">
        <f t="shared" si="32"/>
        <v>0</v>
      </c>
      <c r="D80" s="222">
        <f t="shared" si="32"/>
        <v>0</v>
      </c>
      <c r="E80" s="222">
        <f t="shared" si="32"/>
        <v>0</v>
      </c>
      <c r="F80" s="222">
        <f t="shared" si="32"/>
        <v>0</v>
      </c>
      <c r="G80" s="222">
        <f t="shared" si="32"/>
        <v>0</v>
      </c>
      <c r="H80" s="222">
        <f t="shared" si="32"/>
        <v>0</v>
      </c>
    </row>
    <row r="81" spans="1:8" hidden="1">
      <c r="A81" s="223">
        <f t="shared" si="27"/>
        <v>0</v>
      </c>
      <c r="B81" s="222">
        <f t="shared" si="30"/>
        <v>0</v>
      </c>
      <c r="C81" s="222">
        <f t="shared" si="32"/>
        <v>0</v>
      </c>
      <c r="D81" s="222">
        <f t="shared" si="32"/>
        <v>0</v>
      </c>
      <c r="E81" s="222">
        <f t="shared" si="32"/>
        <v>0</v>
      </c>
      <c r="F81" s="222">
        <f t="shared" si="32"/>
        <v>0</v>
      </c>
      <c r="G81" s="222">
        <f t="shared" si="32"/>
        <v>0</v>
      </c>
      <c r="H81" s="222">
        <f t="shared" si="32"/>
        <v>0</v>
      </c>
    </row>
    <row r="82" spans="1:8" hidden="1">
      <c r="A82" s="223">
        <f t="shared" si="27"/>
        <v>0</v>
      </c>
      <c r="B82" s="222">
        <f t="shared" si="30"/>
        <v>0</v>
      </c>
      <c r="C82" s="222">
        <f t="shared" si="32"/>
        <v>0</v>
      </c>
      <c r="D82" s="222">
        <f t="shared" si="32"/>
        <v>0</v>
      </c>
      <c r="E82" s="222">
        <f t="shared" si="32"/>
        <v>0</v>
      </c>
      <c r="F82" s="222">
        <f t="shared" si="32"/>
        <v>0</v>
      </c>
      <c r="G82" s="222">
        <f t="shared" si="32"/>
        <v>0</v>
      </c>
      <c r="H82" s="222">
        <f t="shared" si="32"/>
        <v>0</v>
      </c>
    </row>
    <row r="83" spans="1:8" hidden="1">
      <c r="A83" s="223" t="str">
        <f t="shared" si="27"/>
        <v>Onion</v>
      </c>
      <c r="B83" s="222">
        <f t="shared" ref="B83:B90" si="33">H24*$B$72</f>
        <v>0</v>
      </c>
      <c r="C83" s="222">
        <f t="shared" si="32"/>
        <v>0</v>
      </c>
      <c r="D83" s="222">
        <f t="shared" si="32"/>
        <v>0</v>
      </c>
      <c r="E83" s="222">
        <f t="shared" si="32"/>
        <v>0</v>
      </c>
      <c r="F83" s="222">
        <f t="shared" si="32"/>
        <v>0</v>
      </c>
      <c r="G83" s="222">
        <f t="shared" si="32"/>
        <v>0</v>
      </c>
      <c r="H83" s="222">
        <f t="shared" si="32"/>
        <v>0</v>
      </c>
    </row>
    <row r="84" spans="1:8" hidden="1">
      <c r="A84" s="223" t="str">
        <f t="shared" si="27"/>
        <v>Tomato</v>
      </c>
      <c r="B84" s="222">
        <f t="shared" si="33"/>
        <v>0</v>
      </c>
      <c r="C84" s="222">
        <f t="shared" si="32"/>
        <v>0</v>
      </c>
      <c r="D84" s="222">
        <f t="shared" si="32"/>
        <v>0</v>
      </c>
      <c r="E84" s="222">
        <f t="shared" si="32"/>
        <v>0</v>
      </c>
      <c r="F84" s="222">
        <f t="shared" si="32"/>
        <v>0</v>
      </c>
      <c r="G84" s="222">
        <f t="shared" si="32"/>
        <v>0</v>
      </c>
      <c r="H84" s="222">
        <f t="shared" si="32"/>
        <v>0</v>
      </c>
    </row>
    <row r="85" spans="1:8" hidden="1">
      <c r="A85" s="223" t="str">
        <f t="shared" si="27"/>
        <v>Okra</v>
      </c>
      <c r="B85" s="222">
        <f t="shared" si="33"/>
        <v>0</v>
      </c>
      <c r="C85" s="222">
        <f t="shared" si="32"/>
        <v>0</v>
      </c>
      <c r="D85" s="222">
        <f t="shared" si="32"/>
        <v>0</v>
      </c>
      <c r="E85" s="222">
        <f t="shared" si="32"/>
        <v>0</v>
      </c>
      <c r="F85" s="222">
        <f t="shared" si="32"/>
        <v>0</v>
      </c>
      <c r="G85" s="222">
        <f t="shared" si="32"/>
        <v>0</v>
      </c>
      <c r="H85" s="222">
        <f t="shared" si="32"/>
        <v>0</v>
      </c>
    </row>
    <row r="86" spans="1:8" hidden="1">
      <c r="A86" s="223" t="str">
        <f t="shared" si="27"/>
        <v>Chilli</v>
      </c>
      <c r="B86" s="222">
        <f t="shared" si="33"/>
        <v>0</v>
      </c>
      <c r="C86" s="222">
        <f t="shared" si="32"/>
        <v>0</v>
      </c>
      <c r="D86" s="222">
        <f t="shared" si="32"/>
        <v>0</v>
      </c>
      <c r="E86" s="222">
        <f t="shared" si="32"/>
        <v>0</v>
      </c>
      <c r="F86" s="222">
        <f t="shared" si="32"/>
        <v>0</v>
      </c>
      <c r="G86" s="222">
        <f t="shared" si="32"/>
        <v>0</v>
      </c>
      <c r="H86" s="222">
        <f t="shared" si="32"/>
        <v>0</v>
      </c>
    </row>
    <row r="87" spans="1:8" hidden="1">
      <c r="A87" s="223" t="str">
        <f t="shared" si="27"/>
        <v>Brinjal</v>
      </c>
      <c r="B87" s="222">
        <f t="shared" si="33"/>
        <v>0</v>
      </c>
      <c r="C87" s="222">
        <f t="shared" si="32"/>
        <v>0</v>
      </c>
      <c r="D87" s="222">
        <f t="shared" si="32"/>
        <v>0</v>
      </c>
      <c r="E87" s="222">
        <f t="shared" si="32"/>
        <v>0</v>
      </c>
      <c r="F87" s="222">
        <f t="shared" si="32"/>
        <v>0</v>
      </c>
      <c r="G87" s="222">
        <f t="shared" si="32"/>
        <v>0</v>
      </c>
      <c r="H87" s="222">
        <f t="shared" si="32"/>
        <v>0</v>
      </c>
    </row>
    <row r="88" spans="1:8" hidden="1">
      <c r="A88" s="223" t="str">
        <f t="shared" si="27"/>
        <v>Cashew</v>
      </c>
      <c r="B88" s="222">
        <f t="shared" si="33"/>
        <v>0</v>
      </c>
      <c r="C88" s="222">
        <f t="shared" si="32"/>
        <v>0</v>
      </c>
      <c r="D88" s="222">
        <f t="shared" si="32"/>
        <v>0</v>
      </c>
      <c r="E88" s="222">
        <f t="shared" si="32"/>
        <v>0</v>
      </c>
      <c r="F88" s="222">
        <f t="shared" si="32"/>
        <v>0</v>
      </c>
      <c r="G88" s="222">
        <f t="shared" si="32"/>
        <v>0</v>
      </c>
      <c r="H88" s="222">
        <f t="shared" si="32"/>
        <v>0</v>
      </c>
    </row>
    <row r="89" spans="1:8" hidden="1">
      <c r="A89" s="223">
        <f t="shared" si="27"/>
        <v>0</v>
      </c>
      <c r="B89" s="222">
        <f t="shared" si="33"/>
        <v>0</v>
      </c>
      <c r="C89" s="222">
        <f t="shared" si="32"/>
        <v>0</v>
      </c>
      <c r="D89" s="222">
        <f t="shared" si="32"/>
        <v>0</v>
      </c>
      <c r="E89" s="222">
        <f t="shared" si="32"/>
        <v>0</v>
      </c>
      <c r="F89" s="222">
        <f t="shared" si="32"/>
        <v>0</v>
      </c>
      <c r="G89" s="222">
        <f t="shared" si="32"/>
        <v>0</v>
      </c>
      <c r="H89" s="222">
        <f t="shared" si="32"/>
        <v>0</v>
      </c>
    </row>
    <row r="90" spans="1:8" hidden="1">
      <c r="A90" s="223">
        <f t="shared" si="27"/>
        <v>0</v>
      </c>
      <c r="B90" s="222">
        <f t="shared" si="33"/>
        <v>0</v>
      </c>
      <c r="C90" s="222">
        <f t="shared" si="32"/>
        <v>0</v>
      </c>
      <c r="D90" s="222">
        <f t="shared" si="32"/>
        <v>0</v>
      </c>
      <c r="E90" s="222">
        <f t="shared" si="32"/>
        <v>0</v>
      </c>
      <c r="F90" s="222">
        <f t="shared" si="32"/>
        <v>0</v>
      </c>
      <c r="G90" s="222">
        <f t="shared" si="32"/>
        <v>0</v>
      </c>
      <c r="H90" s="222">
        <f t="shared" si="32"/>
        <v>0</v>
      </c>
    </row>
    <row r="91" spans="1:8" hidden="1">
      <c r="A91" s="223">
        <f t="shared" si="27"/>
        <v>0</v>
      </c>
      <c r="B91" s="222">
        <f t="shared" ref="B91:B98" si="34">H33*$B$72</f>
        <v>0</v>
      </c>
      <c r="C91" s="222">
        <f t="shared" si="32"/>
        <v>0</v>
      </c>
      <c r="D91" s="222">
        <f t="shared" ref="D91:D94" si="35">(C91/C$72)*D$72</f>
        <v>0</v>
      </c>
      <c r="E91" s="222">
        <f t="shared" ref="E91:E94" si="36">(D91/D$72)*E$72</f>
        <v>0</v>
      </c>
      <c r="F91" s="222">
        <f t="shared" ref="F91:F94" si="37">(E91/E$72)*F$72</f>
        <v>0</v>
      </c>
      <c r="G91" s="222">
        <f t="shared" ref="G91:G94" si="38">(F91/F$72)*G$72</f>
        <v>0</v>
      </c>
      <c r="H91" s="222">
        <f t="shared" si="32"/>
        <v>0</v>
      </c>
    </row>
    <row r="92" spans="1:8" hidden="1">
      <c r="A92" s="223">
        <f t="shared" si="27"/>
        <v>0</v>
      </c>
      <c r="B92" s="222">
        <f t="shared" si="34"/>
        <v>0</v>
      </c>
      <c r="C92" s="222">
        <f t="shared" si="32"/>
        <v>0</v>
      </c>
      <c r="D92" s="222">
        <f t="shared" si="35"/>
        <v>0</v>
      </c>
      <c r="E92" s="222">
        <f t="shared" si="36"/>
        <v>0</v>
      </c>
      <c r="F92" s="222">
        <f t="shared" si="37"/>
        <v>0</v>
      </c>
      <c r="G92" s="222">
        <f t="shared" si="38"/>
        <v>0</v>
      </c>
      <c r="H92" s="222"/>
    </row>
    <row r="93" spans="1:8" hidden="1">
      <c r="A93" s="223">
        <f t="shared" si="27"/>
        <v>0</v>
      </c>
      <c r="B93" s="222">
        <f t="shared" si="34"/>
        <v>0</v>
      </c>
      <c r="C93" s="222">
        <f t="shared" si="32"/>
        <v>0</v>
      </c>
      <c r="D93" s="222">
        <f t="shared" si="35"/>
        <v>0</v>
      </c>
      <c r="E93" s="222">
        <f t="shared" si="36"/>
        <v>0</v>
      </c>
      <c r="F93" s="222">
        <f t="shared" si="37"/>
        <v>0</v>
      </c>
      <c r="G93" s="222">
        <f t="shared" si="38"/>
        <v>0</v>
      </c>
      <c r="H93" s="222"/>
    </row>
    <row r="94" spans="1:8" hidden="1">
      <c r="A94" s="223">
        <f t="shared" si="27"/>
        <v>0</v>
      </c>
      <c r="B94" s="222">
        <f t="shared" si="34"/>
        <v>0</v>
      </c>
      <c r="C94" s="222">
        <f t="shared" si="32"/>
        <v>0</v>
      </c>
      <c r="D94" s="222">
        <f t="shared" si="35"/>
        <v>0</v>
      </c>
      <c r="E94" s="222">
        <f t="shared" si="36"/>
        <v>0</v>
      </c>
      <c r="F94" s="222">
        <f t="shared" si="37"/>
        <v>0</v>
      </c>
      <c r="G94" s="222">
        <f t="shared" si="38"/>
        <v>0</v>
      </c>
      <c r="H94" s="222"/>
    </row>
    <row r="95" spans="1:8">
      <c r="A95" s="223" t="str">
        <f t="shared" si="27"/>
        <v>Cashew</v>
      </c>
      <c r="B95" s="222">
        <f>H37*$B$72</f>
        <v>10012.463999999998</v>
      </c>
      <c r="C95" s="222">
        <f t="shared" si="32"/>
        <v>10846.835999999999</v>
      </c>
      <c r="D95" s="222">
        <f t="shared" si="32"/>
        <v>11681.208000000001</v>
      </c>
      <c r="E95" s="222">
        <f t="shared" si="32"/>
        <v>12515.580000000002</v>
      </c>
      <c r="F95" s="222">
        <f t="shared" si="32"/>
        <v>13349.952000000001</v>
      </c>
      <c r="G95" s="222">
        <f t="shared" si="32"/>
        <v>14184.324000000002</v>
      </c>
      <c r="H95" s="222">
        <f t="shared" si="32"/>
        <v>15018.696000000004</v>
      </c>
    </row>
    <row r="96" spans="1:8" hidden="1">
      <c r="A96" s="223" t="str">
        <f t="shared" si="27"/>
        <v>Custard Apple</v>
      </c>
      <c r="B96" s="222">
        <f t="shared" si="34"/>
        <v>0</v>
      </c>
      <c r="C96" s="222">
        <f t="shared" ref="C96:H98" si="39">(B96/B$72)*C$72</f>
        <v>0</v>
      </c>
      <c r="D96" s="222">
        <f t="shared" si="39"/>
        <v>0</v>
      </c>
      <c r="E96" s="222">
        <f t="shared" si="39"/>
        <v>0</v>
      </c>
      <c r="F96" s="222">
        <f t="shared" si="39"/>
        <v>0</v>
      </c>
      <c r="G96" s="222">
        <f t="shared" si="39"/>
        <v>0</v>
      </c>
      <c r="H96" s="222">
        <f t="shared" si="39"/>
        <v>0</v>
      </c>
    </row>
    <row r="97" spans="1:9" hidden="1">
      <c r="A97" s="223" t="str">
        <f t="shared" si="27"/>
        <v>Guava</v>
      </c>
      <c r="B97" s="222">
        <f t="shared" si="34"/>
        <v>0</v>
      </c>
      <c r="C97" s="222">
        <f t="shared" si="39"/>
        <v>0</v>
      </c>
      <c r="D97" s="222">
        <f t="shared" si="39"/>
        <v>0</v>
      </c>
      <c r="E97" s="222">
        <f t="shared" si="39"/>
        <v>0</v>
      </c>
      <c r="F97" s="222">
        <f t="shared" si="39"/>
        <v>0</v>
      </c>
      <c r="G97" s="222">
        <f t="shared" si="39"/>
        <v>0</v>
      </c>
      <c r="H97" s="222">
        <f t="shared" si="39"/>
        <v>0</v>
      </c>
    </row>
    <row r="98" spans="1:9" hidden="1">
      <c r="A98" s="223" t="str">
        <f t="shared" si="27"/>
        <v>Citrus</v>
      </c>
      <c r="B98" s="222">
        <f t="shared" si="34"/>
        <v>0</v>
      </c>
      <c r="C98" s="222">
        <f t="shared" si="39"/>
        <v>0</v>
      </c>
      <c r="D98" s="222">
        <f t="shared" ref="D98" si="40">(C98/C$72)*D$72</f>
        <v>0</v>
      </c>
      <c r="E98" s="222">
        <f t="shared" ref="E98" si="41">(D98/D$72)*E$72</f>
        <v>0</v>
      </c>
      <c r="F98" s="222">
        <f t="shared" ref="F98" si="42">(E98/E$72)*F$72</f>
        <v>0</v>
      </c>
      <c r="G98" s="222">
        <f t="shared" ref="G98" si="43">(F98/F$72)*G$72</f>
        <v>0</v>
      </c>
      <c r="H98" s="222">
        <f t="shared" ref="H98" si="44">(G98/G$72)*H$72</f>
        <v>0</v>
      </c>
      <c r="I98" s="237"/>
    </row>
    <row r="99" spans="1:9">
      <c r="A99" s="481" t="s">
        <v>552</v>
      </c>
      <c r="B99" s="482"/>
      <c r="C99" s="482"/>
      <c r="D99" s="482"/>
      <c r="E99" s="482"/>
      <c r="F99" s="482"/>
      <c r="G99" s="482"/>
      <c r="H99" s="483"/>
    </row>
    <row r="100" spans="1:9">
      <c r="A100" s="479" t="s">
        <v>145</v>
      </c>
      <c r="B100" s="277">
        <v>0.65</v>
      </c>
      <c r="C100" s="278">
        <f>B100+0.05</f>
        <v>0.70000000000000007</v>
      </c>
      <c r="D100" s="278">
        <f t="shared" ref="D100:H100" si="45">C100+0.05</f>
        <v>0.75000000000000011</v>
      </c>
      <c r="E100" s="278">
        <f t="shared" si="45"/>
        <v>0.80000000000000016</v>
      </c>
      <c r="F100" s="278">
        <f t="shared" si="45"/>
        <v>0.8500000000000002</v>
      </c>
      <c r="G100" s="278">
        <f t="shared" si="45"/>
        <v>0.90000000000000024</v>
      </c>
      <c r="H100" s="278">
        <f t="shared" si="45"/>
        <v>0.95000000000000029</v>
      </c>
    </row>
    <row r="101" spans="1:9">
      <c r="A101" s="480"/>
      <c r="B101" s="185" t="s">
        <v>148</v>
      </c>
      <c r="C101" s="185" t="s">
        <v>149</v>
      </c>
      <c r="D101" s="185" t="s">
        <v>150</v>
      </c>
      <c r="E101" s="185" t="s">
        <v>151</v>
      </c>
      <c r="F101" s="185" t="s">
        <v>152</v>
      </c>
      <c r="G101" s="185" t="s">
        <v>153</v>
      </c>
      <c r="H101" s="185" t="s">
        <v>154</v>
      </c>
    </row>
    <row r="102" spans="1:9" s="276" customFormat="1" hidden="1">
      <c r="A102" s="223" t="str">
        <f t="shared" ref="A102:A126" si="46">A74</f>
        <v>Onion</v>
      </c>
      <c r="B102" s="222">
        <f>D14*$B$100*0</f>
        <v>0</v>
      </c>
      <c r="C102" s="222">
        <f t="shared" ref="C102:H117" si="47">(B102/B$100)*C$100</f>
        <v>0</v>
      </c>
      <c r="D102" s="222">
        <f t="shared" si="47"/>
        <v>0</v>
      </c>
      <c r="E102" s="222">
        <f t="shared" si="47"/>
        <v>0</v>
      </c>
      <c r="F102" s="222">
        <f t="shared" si="47"/>
        <v>0</v>
      </c>
      <c r="G102" s="222">
        <f t="shared" si="47"/>
        <v>0</v>
      </c>
      <c r="H102" s="222">
        <f t="shared" si="47"/>
        <v>0</v>
      </c>
    </row>
    <row r="103" spans="1:9" hidden="1">
      <c r="A103" s="223" t="str">
        <f t="shared" si="46"/>
        <v>Tomato</v>
      </c>
      <c r="B103" s="222">
        <f t="shared" ref="B103:B126" si="48">D15*$B$100*0</f>
        <v>0</v>
      </c>
      <c r="C103" s="222">
        <f t="shared" si="47"/>
        <v>0</v>
      </c>
      <c r="D103" s="222">
        <f>(C103/C100)*D100</f>
        <v>0</v>
      </c>
      <c r="E103" s="222">
        <f t="shared" ref="E103:H103" si="49">(D103/D100)*E100</f>
        <v>0</v>
      </c>
      <c r="F103" s="222">
        <f t="shared" si="49"/>
        <v>0</v>
      </c>
      <c r="G103" s="222">
        <f t="shared" si="49"/>
        <v>0</v>
      </c>
      <c r="H103" s="222">
        <f t="shared" si="49"/>
        <v>0</v>
      </c>
    </row>
    <row r="104" spans="1:9" hidden="1">
      <c r="A104" s="223" t="str">
        <f t="shared" si="46"/>
        <v>Okra</v>
      </c>
      <c r="B104" s="222">
        <f t="shared" si="48"/>
        <v>0</v>
      </c>
      <c r="C104" s="222">
        <f t="shared" si="47"/>
        <v>0</v>
      </c>
      <c r="D104" s="222">
        <f t="shared" si="47"/>
        <v>0</v>
      </c>
      <c r="E104" s="222">
        <f t="shared" si="47"/>
        <v>0</v>
      </c>
      <c r="F104" s="222">
        <f t="shared" si="47"/>
        <v>0</v>
      </c>
      <c r="G104" s="222">
        <f t="shared" si="47"/>
        <v>0</v>
      </c>
      <c r="H104" s="222">
        <f t="shared" si="47"/>
        <v>0</v>
      </c>
    </row>
    <row r="105" spans="1:9" hidden="1">
      <c r="A105" s="223" t="str">
        <f t="shared" si="46"/>
        <v>Chilli</v>
      </c>
      <c r="B105" s="222">
        <f t="shared" si="48"/>
        <v>0</v>
      </c>
      <c r="C105" s="222">
        <f t="shared" si="47"/>
        <v>0</v>
      </c>
      <c r="D105" s="222">
        <f t="shared" si="47"/>
        <v>0</v>
      </c>
      <c r="E105" s="222">
        <f t="shared" si="47"/>
        <v>0</v>
      </c>
      <c r="F105" s="222">
        <f t="shared" si="47"/>
        <v>0</v>
      </c>
      <c r="G105" s="222">
        <f t="shared" si="47"/>
        <v>0</v>
      </c>
      <c r="H105" s="222">
        <f t="shared" si="47"/>
        <v>0</v>
      </c>
    </row>
    <row r="106" spans="1:9" hidden="1">
      <c r="A106" s="223" t="str">
        <f t="shared" si="46"/>
        <v>Potato</v>
      </c>
      <c r="B106" s="222">
        <f t="shared" si="48"/>
        <v>0</v>
      </c>
      <c r="C106" s="222">
        <f t="shared" si="47"/>
        <v>0</v>
      </c>
      <c r="D106" s="222">
        <f t="shared" si="47"/>
        <v>0</v>
      </c>
      <c r="E106" s="222">
        <f t="shared" si="47"/>
        <v>0</v>
      </c>
      <c r="F106" s="222">
        <f t="shared" si="47"/>
        <v>0</v>
      </c>
      <c r="G106" s="222">
        <f t="shared" si="47"/>
        <v>0</v>
      </c>
      <c r="H106" s="222">
        <f t="shared" si="47"/>
        <v>0</v>
      </c>
    </row>
    <row r="107" spans="1:9" hidden="1">
      <c r="A107" s="223">
        <f t="shared" si="46"/>
        <v>0</v>
      </c>
      <c r="B107" s="222">
        <f t="shared" si="48"/>
        <v>0</v>
      </c>
      <c r="C107" s="222">
        <f t="shared" si="47"/>
        <v>0</v>
      </c>
      <c r="D107" s="222">
        <f t="shared" si="47"/>
        <v>0</v>
      </c>
      <c r="E107" s="222">
        <f t="shared" si="47"/>
        <v>0</v>
      </c>
      <c r="F107" s="222">
        <f t="shared" si="47"/>
        <v>0</v>
      </c>
      <c r="G107" s="222">
        <f t="shared" si="47"/>
        <v>0</v>
      </c>
      <c r="H107" s="222">
        <f t="shared" si="47"/>
        <v>0</v>
      </c>
    </row>
    <row r="108" spans="1:9" hidden="1">
      <c r="A108" s="223">
        <f t="shared" si="46"/>
        <v>0</v>
      </c>
      <c r="B108" s="222">
        <f t="shared" si="48"/>
        <v>0</v>
      </c>
      <c r="C108" s="222">
        <f t="shared" si="47"/>
        <v>0</v>
      </c>
      <c r="D108" s="222">
        <f t="shared" si="47"/>
        <v>0</v>
      </c>
      <c r="E108" s="222">
        <f t="shared" si="47"/>
        <v>0</v>
      </c>
      <c r="F108" s="222">
        <f t="shared" si="47"/>
        <v>0</v>
      </c>
      <c r="G108" s="222">
        <f t="shared" si="47"/>
        <v>0</v>
      </c>
      <c r="H108" s="222">
        <f t="shared" si="47"/>
        <v>0</v>
      </c>
    </row>
    <row r="109" spans="1:9" hidden="1">
      <c r="A109" s="223">
        <f t="shared" si="46"/>
        <v>0</v>
      </c>
      <c r="B109" s="222">
        <f t="shared" si="48"/>
        <v>0</v>
      </c>
      <c r="C109" s="222">
        <f t="shared" si="47"/>
        <v>0</v>
      </c>
      <c r="D109" s="222">
        <f t="shared" si="47"/>
        <v>0</v>
      </c>
      <c r="E109" s="222">
        <f t="shared" si="47"/>
        <v>0</v>
      </c>
      <c r="F109" s="222">
        <f t="shared" si="47"/>
        <v>0</v>
      </c>
      <c r="G109" s="222">
        <f t="shared" si="47"/>
        <v>0</v>
      </c>
      <c r="H109" s="222">
        <f t="shared" si="47"/>
        <v>0</v>
      </c>
    </row>
    <row r="110" spans="1:9" hidden="1">
      <c r="A110" s="223">
        <f t="shared" si="46"/>
        <v>0</v>
      </c>
      <c r="B110" s="222">
        <f t="shared" si="48"/>
        <v>0</v>
      </c>
      <c r="C110" s="222">
        <f t="shared" si="47"/>
        <v>0</v>
      </c>
      <c r="D110" s="222">
        <f t="shared" si="47"/>
        <v>0</v>
      </c>
      <c r="E110" s="222">
        <f t="shared" si="47"/>
        <v>0</v>
      </c>
      <c r="F110" s="222">
        <f t="shared" si="47"/>
        <v>0</v>
      </c>
      <c r="G110" s="222">
        <f t="shared" si="47"/>
        <v>0</v>
      </c>
      <c r="H110" s="222">
        <f t="shared" si="47"/>
        <v>0</v>
      </c>
    </row>
    <row r="111" spans="1:9" hidden="1">
      <c r="A111" s="223" t="str">
        <f t="shared" si="46"/>
        <v>Onion</v>
      </c>
      <c r="B111" s="222">
        <f t="shared" si="48"/>
        <v>0</v>
      </c>
      <c r="C111" s="222">
        <f t="shared" si="47"/>
        <v>0</v>
      </c>
      <c r="D111" s="222">
        <f t="shared" si="47"/>
        <v>0</v>
      </c>
      <c r="E111" s="222">
        <f t="shared" si="47"/>
        <v>0</v>
      </c>
      <c r="F111" s="222">
        <f t="shared" si="47"/>
        <v>0</v>
      </c>
      <c r="G111" s="222">
        <f t="shared" si="47"/>
        <v>0</v>
      </c>
      <c r="H111" s="222">
        <f t="shared" si="47"/>
        <v>0</v>
      </c>
    </row>
    <row r="112" spans="1:9" hidden="1">
      <c r="A112" s="223" t="str">
        <f t="shared" si="46"/>
        <v>Tomato</v>
      </c>
      <c r="B112" s="222">
        <f t="shared" si="48"/>
        <v>0</v>
      </c>
      <c r="C112" s="222">
        <f t="shared" si="47"/>
        <v>0</v>
      </c>
      <c r="D112" s="222">
        <f t="shared" si="47"/>
        <v>0</v>
      </c>
      <c r="E112" s="222">
        <f t="shared" si="47"/>
        <v>0</v>
      </c>
      <c r="F112" s="222">
        <f t="shared" si="47"/>
        <v>0</v>
      </c>
      <c r="G112" s="222">
        <f t="shared" si="47"/>
        <v>0</v>
      </c>
      <c r="H112" s="222">
        <f t="shared" si="47"/>
        <v>0</v>
      </c>
    </row>
    <row r="113" spans="1:8" hidden="1">
      <c r="A113" s="223" t="str">
        <f t="shared" si="46"/>
        <v>Okra</v>
      </c>
      <c r="B113" s="222">
        <f t="shared" si="48"/>
        <v>0</v>
      </c>
      <c r="C113" s="222">
        <f t="shared" si="47"/>
        <v>0</v>
      </c>
      <c r="D113" s="222">
        <f t="shared" si="47"/>
        <v>0</v>
      </c>
      <c r="E113" s="222">
        <f t="shared" si="47"/>
        <v>0</v>
      </c>
      <c r="F113" s="222">
        <f t="shared" si="47"/>
        <v>0</v>
      </c>
      <c r="G113" s="222">
        <f t="shared" si="47"/>
        <v>0</v>
      </c>
      <c r="H113" s="222">
        <f t="shared" si="47"/>
        <v>0</v>
      </c>
    </row>
    <row r="114" spans="1:8" hidden="1">
      <c r="A114" s="223" t="str">
        <f t="shared" si="46"/>
        <v>Chilli</v>
      </c>
      <c r="B114" s="222">
        <f t="shared" si="48"/>
        <v>0</v>
      </c>
      <c r="C114" s="222">
        <f t="shared" si="47"/>
        <v>0</v>
      </c>
      <c r="D114" s="222">
        <f t="shared" si="47"/>
        <v>0</v>
      </c>
      <c r="E114" s="222">
        <f t="shared" si="47"/>
        <v>0</v>
      </c>
      <c r="F114" s="222">
        <f t="shared" si="47"/>
        <v>0</v>
      </c>
      <c r="G114" s="222">
        <f t="shared" si="47"/>
        <v>0</v>
      </c>
      <c r="H114" s="222">
        <f t="shared" si="47"/>
        <v>0</v>
      </c>
    </row>
    <row r="115" spans="1:8" hidden="1">
      <c r="A115" s="223" t="str">
        <f t="shared" si="46"/>
        <v>Brinjal</v>
      </c>
      <c r="B115" s="222">
        <f t="shared" si="48"/>
        <v>0</v>
      </c>
      <c r="C115" s="222">
        <f t="shared" si="47"/>
        <v>0</v>
      </c>
      <c r="D115" s="222">
        <f t="shared" si="47"/>
        <v>0</v>
      </c>
      <c r="E115" s="222">
        <f t="shared" si="47"/>
        <v>0</v>
      </c>
      <c r="F115" s="222">
        <f t="shared" si="47"/>
        <v>0</v>
      </c>
      <c r="G115" s="222">
        <f t="shared" si="47"/>
        <v>0</v>
      </c>
      <c r="H115" s="222">
        <f t="shared" si="47"/>
        <v>0</v>
      </c>
    </row>
    <row r="116" spans="1:8" hidden="1">
      <c r="A116" s="223" t="str">
        <f t="shared" si="46"/>
        <v>Cashew</v>
      </c>
      <c r="B116" s="222">
        <f t="shared" si="48"/>
        <v>0</v>
      </c>
      <c r="C116" s="222">
        <f t="shared" si="47"/>
        <v>0</v>
      </c>
      <c r="D116" s="222">
        <f t="shared" si="47"/>
        <v>0</v>
      </c>
      <c r="E116" s="222">
        <f t="shared" si="47"/>
        <v>0</v>
      </c>
      <c r="F116" s="222">
        <f t="shared" si="47"/>
        <v>0</v>
      </c>
      <c r="G116" s="222">
        <f t="shared" si="47"/>
        <v>0</v>
      </c>
      <c r="H116" s="222">
        <f t="shared" si="47"/>
        <v>0</v>
      </c>
    </row>
    <row r="117" spans="1:8" hidden="1">
      <c r="A117" s="223">
        <f t="shared" si="46"/>
        <v>0</v>
      </c>
      <c r="B117" s="222">
        <f t="shared" si="48"/>
        <v>0</v>
      </c>
      <c r="C117" s="222">
        <f t="shared" si="47"/>
        <v>0</v>
      </c>
      <c r="D117" s="222">
        <f t="shared" si="47"/>
        <v>0</v>
      </c>
      <c r="E117" s="222">
        <f t="shared" si="47"/>
        <v>0</v>
      </c>
      <c r="F117" s="222">
        <f t="shared" si="47"/>
        <v>0</v>
      </c>
      <c r="G117" s="222">
        <f t="shared" si="47"/>
        <v>0</v>
      </c>
      <c r="H117" s="222">
        <f t="shared" si="47"/>
        <v>0</v>
      </c>
    </row>
    <row r="118" spans="1:8" hidden="1">
      <c r="A118" s="223">
        <f t="shared" si="46"/>
        <v>0</v>
      </c>
      <c r="B118" s="222">
        <f t="shared" si="48"/>
        <v>0</v>
      </c>
      <c r="C118" s="222">
        <f t="shared" ref="C118:H126" si="50">(B118/B$100)*C$100</f>
        <v>0</v>
      </c>
      <c r="D118" s="222">
        <f t="shared" si="50"/>
        <v>0</v>
      </c>
      <c r="E118" s="222">
        <f t="shared" si="50"/>
        <v>0</v>
      </c>
      <c r="F118" s="222">
        <f t="shared" si="50"/>
        <v>0</v>
      </c>
      <c r="G118" s="222">
        <f t="shared" si="50"/>
        <v>0</v>
      </c>
      <c r="H118" s="222">
        <f t="shared" si="50"/>
        <v>0</v>
      </c>
    </row>
    <row r="119" spans="1:8" hidden="1">
      <c r="A119" s="223">
        <f t="shared" si="46"/>
        <v>0</v>
      </c>
      <c r="B119" s="222">
        <f t="shared" si="48"/>
        <v>0</v>
      </c>
      <c r="C119" s="222">
        <f t="shared" si="50"/>
        <v>0</v>
      </c>
      <c r="D119" s="222">
        <f t="shared" si="50"/>
        <v>0</v>
      </c>
      <c r="E119" s="222">
        <f t="shared" si="50"/>
        <v>0</v>
      </c>
      <c r="F119" s="222">
        <f t="shared" si="50"/>
        <v>0</v>
      </c>
      <c r="G119" s="222">
        <f t="shared" si="50"/>
        <v>0</v>
      </c>
      <c r="H119" s="222">
        <f t="shared" si="50"/>
        <v>0</v>
      </c>
    </row>
    <row r="120" spans="1:8" hidden="1">
      <c r="A120" s="223">
        <f t="shared" si="46"/>
        <v>0</v>
      </c>
      <c r="B120" s="222">
        <f t="shared" si="48"/>
        <v>0</v>
      </c>
      <c r="C120" s="222">
        <f t="shared" si="50"/>
        <v>0</v>
      </c>
      <c r="D120" s="222">
        <f t="shared" ref="D120:D122" si="51">(C120/C$100)*D$100</f>
        <v>0</v>
      </c>
      <c r="E120" s="222">
        <f t="shared" ref="E120:E122" si="52">(D120/D$100)*E$100</f>
        <v>0</v>
      </c>
      <c r="F120" s="222">
        <f t="shared" ref="F120:F122" si="53">(E120/E$100)*F$100</f>
        <v>0</v>
      </c>
      <c r="G120" s="222">
        <f t="shared" ref="G120:G122" si="54">(F120/F$100)*G$100</f>
        <v>0</v>
      </c>
      <c r="H120" s="222">
        <f t="shared" si="50"/>
        <v>0</v>
      </c>
    </row>
    <row r="121" spans="1:8" hidden="1">
      <c r="A121" s="223">
        <f t="shared" si="46"/>
        <v>0</v>
      </c>
      <c r="B121" s="222">
        <f t="shared" si="48"/>
        <v>0</v>
      </c>
      <c r="C121" s="222">
        <f t="shared" si="50"/>
        <v>0</v>
      </c>
      <c r="D121" s="222">
        <f t="shared" si="51"/>
        <v>0</v>
      </c>
      <c r="E121" s="222">
        <f t="shared" si="52"/>
        <v>0</v>
      </c>
      <c r="F121" s="222">
        <f t="shared" si="53"/>
        <v>0</v>
      </c>
      <c r="G121" s="222">
        <f t="shared" si="54"/>
        <v>0</v>
      </c>
      <c r="H121" s="222">
        <f t="shared" si="50"/>
        <v>0</v>
      </c>
    </row>
    <row r="122" spans="1:8" hidden="1">
      <c r="A122" s="223">
        <f t="shared" si="46"/>
        <v>0</v>
      </c>
      <c r="B122" s="222">
        <f t="shared" si="48"/>
        <v>0</v>
      </c>
      <c r="C122" s="222">
        <f t="shared" si="50"/>
        <v>0</v>
      </c>
      <c r="D122" s="222">
        <f t="shared" si="51"/>
        <v>0</v>
      </c>
      <c r="E122" s="222">
        <f t="shared" si="52"/>
        <v>0</v>
      </c>
      <c r="F122" s="222">
        <f t="shared" si="53"/>
        <v>0</v>
      </c>
      <c r="G122" s="222">
        <f t="shared" si="54"/>
        <v>0</v>
      </c>
      <c r="H122" s="222">
        <f t="shared" si="50"/>
        <v>0</v>
      </c>
    </row>
    <row r="123" spans="1:8" hidden="1">
      <c r="A123" s="223" t="str">
        <f t="shared" si="46"/>
        <v>Cashew</v>
      </c>
      <c r="B123" s="222">
        <f t="shared" si="48"/>
        <v>0</v>
      </c>
      <c r="C123" s="222">
        <f t="shared" si="50"/>
        <v>0</v>
      </c>
      <c r="D123" s="222">
        <f t="shared" si="50"/>
        <v>0</v>
      </c>
      <c r="E123" s="222">
        <f t="shared" si="50"/>
        <v>0</v>
      </c>
      <c r="F123" s="222">
        <f t="shared" si="50"/>
        <v>0</v>
      </c>
      <c r="G123" s="222">
        <f t="shared" si="50"/>
        <v>0</v>
      </c>
      <c r="H123" s="222">
        <f t="shared" si="50"/>
        <v>0</v>
      </c>
    </row>
    <row r="124" spans="1:8" hidden="1">
      <c r="A124" s="223" t="str">
        <f t="shared" si="46"/>
        <v>Custard Apple</v>
      </c>
      <c r="B124" s="222">
        <f t="shared" si="48"/>
        <v>0</v>
      </c>
      <c r="C124" s="222">
        <f t="shared" si="50"/>
        <v>0</v>
      </c>
      <c r="D124" s="222">
        <f t="shared" ref="D124" si="55">(C124/C$100)*D$100</f>
        <v>0</v>
      </c>
      <c r="E124" s="222">
        <f t="shared" ref="E124" si="56">(D124/D$100)*E$100</f>
        <v>0</v>
      </c>
      <c r="F124" s="222">
        <f t="shared" ref="F124" si="57">(E124/E$100)*F$100</f>
        <v>0</v>
      </c>
      <c r="G124" s="222">
        <f t="shared" ref="G124" si="58">(F124/F$100)*G$100</f>
        <v>0</v>
      </c>
      <c r="H124" s="222">
        <f t="shared" si="50"/>
        <v>0</v>
      </c>
    </row>
    <row r="125" spans="1:8" hidden="1">
      <c r="A125" s="223" t="str">
        <f t="shared" si="46"/>
        <v>Guava</v>
      </c>
      <c r="B125" s="222">
        <f t="shared" si="48"/>
        <v>0</v>
      </c>
      <c r="C125" s="222">
        <f t="shared" si="50"/>
        <v>0</v>
      </c>
      <c r="D125" s="222">
        <f t="shared" si="50"/>
        <v>0</v>
      </c>
      <c r="E125" s="222">
        <f t="shared" si="50"/>
        <v>0</v>
      </c>
      <c r="F125" s="222">
        <f t="shared" si="50"/>
        <v>0</v>
      </c>
      <c r="G125" s="222">
        <f t="shared" si="50"/>
        <v>0</v>
      </c>
      <c r="H125" s="222">
        <f t="shared" si="50"/>
        <v>0</v>
      </c>
    </row>
    <row r="126" spans="1:8" hidden="1">
      <c r="A126" s="223" t="str">
        <f t="shared" si="46"/>
        <v>Citrus</v>
      </c>
      <c r="B126" s="222">
        <f t="shared" si="48"/>
        <v>0</v>
      </c>
      <c r="C126" s="222">
        <f t="shared" si="50"/>
        <v>0</v>
      </c>
      <c r="D126" s="222">
        <f t="shared" si="50"/>
        <v>0</v>
      </c>
      <c r="E126" s="222">
        <f t="shared" si="50"/>
        <v>0</v>
      </c>
      <c r="F126" s="222">
        <f t="shared" si="50"/>
        <v>0</v>
      </c>
      <c r="G126" s="222">
        <f t="shared" si="50"/>
        <v>0</v>
      </c>
      <c r="H126" s="222">
        <f t="shared" si="50"/>
        <v>0</v>
      </c>
    </row>
    <row r="129" spans="1:9">
      <c r="A129" s="474" t="s">
        <v>744</v>
      </c>
      <c r="B129" s="474"/>
      <c r="C129" s="474"/>
      <c r="D129" s="474"/>
      <c r="E129" s="474"/>
      <c r="F129" s="474"/>
      <c r="G129" s="279"/>
      <c r="H129" s="280"/>
    </row>
    <row r="130" spans="1:9">
      <c r="A130" s="474" t="s">
        <v>745</v>
      </c>
      <c r="B130" s="135">
        <v>0.6</v>
      </c>
      <c r="C130" s="135">
        <f>+B130+5%</f>
        <v>0.65</v>
      </c>
      <c r="D130" s="135">
        <f t="shared" ref="D130:H130" si="59">+C130+5%</f>
        <v>0.70000000000000007</v>
      </c>
      <c r="E130" s="135">
        <f t="shared" si="59"/>
        <v>0.75000000000000011</v>
      </c>
      <c r="F130" s="135">
        <f t="shared" si="59"/>
        <v>0.80000000000000016</v>
      </c>
      <c r="G130" s="281">
        <f t="shared" si="59"/>
        <v>0.8500000000000002</v>
      </c>
      <c r="H130" s="281">
        <f t="shared" si="59"/>
        <v>0.90000000000000024</v>
      </c>
    </row>
    <row r="131" spans="1:9">
      <c r="A131" s="474"/>
      <c r="B131" s="136" t="s">
        <v>148</v>
      </c>
      <c r="C131" s="136" t="s">
        <v>149</v>
      </c>
      <c r="D131" s="136" t="s">
        <v>150</v>
      </c>
      <c r="E131" s="136" t="s">
        <v>151</v>
      </c>
      <c r="F131" s="136" t="s">
        <v>152</v>
      </c>
      <c r="G131" s="282" t="s">
        <v>153</v>
      </c>
      <c r="H131" s="136" t="s">
        <v>154</v>
      </c>
    </row>
    <row r="132" spans="1:9">
      <c r="A132" s="137" t="s">
        <v>544</v>
      </c>
      <c r="B132" s="138">
        <f>+B67+B95</f>
        <v>10012.463999999998</v>
      </c>
      <c r="C132" s="138">
        <f t="shared" ref="C132:H132" si="60">+C67+C95</f>
        <v>10846.835999999999</v>
      </c>
      <c r="D132" s="138">
        <f t="shared" si="60"/>
        <v>11681.208000000001</v>
      </c>
      <c r="E132" s="138">
        <f t="shared" si="60"/>
        <v>12515.580000000002</v>
      </c>
      <c r="F132" s="138">
        <f t="shared" si="60"/>
        <v>13349.952000000001</v>
      </c>
      <c r="G132" s="240">
        <f t="shared" si="60"/>
        <v>14184.324000000002</v>
      </c>
      <c r="H132" s="240">
        <f t="shared" si="60"/>
        <v>15018.696000000004</v>
      </c>
      <c r="I132" s="265"/>
    </row>
    <row r="133" spans="1:9">
      <c r="A133" s="220" t="s">
        <v>526</v>
      </c>
      <c r="C133" s="225"/>
      <c r="D133" s="225"/>
      <c r="E133" s="225"/>
      <c r="F133" s="225"/>
      <c r="G133" s="225"/>
      <c r="H133" s="225"/>
      <c r="I133" s="225"/>
    </row>
    <row r="134" spans="1:9">
      <c r="A134" s="220">
        <v>1</v>
      </c>
      <c r="B134" s="220" t="s">
        <v>553</v>
      </c>
    </row>
    <row r="135" spans="1:9">
      <c r="A135" s="220">
        <v>2</v>
      </c>
      <c r="B135" s="220" t="s">
        <v>554</v>
      </c>
    </row>
    <row r="136" spans="1:9">
      <c r="A136" s="220">
        <v>3</v>
      </c>
      <c r="B136" s="220" t="s">
        <v>529</v>
      </c>
    </row>
  </sheetData>
  <mergeCells count="15">
    <mergeCell ref="A129:F129"/>
    <mergeCell ref="A130:A131"/>
    <mergeCell ref="A1:H1"/>
    <mergeCell ref="A3:B3"/>
    <mergeCell ref="A11:H11"/>
    <mergeCell ref="A41:H41"/>
    <mergeCell ref="A43:H43"/>
    <mergeCell ref="A100:A101"/>
    <mergeCell ref="A71:H71"/>
    <mergeCell ref="A99:H99"/>
    <mergeCell ref="A14:A22"/>
    <mergeCell ref="A24:A31"/>
    <mergeCell ref="A37:A40"/>
    <mergeCell ref="A44:A45"/>
    <mergeCell ref="A72:A73"/>
  </mergeCells>
  <pageMargins left="0.7" right="0.7" top="0.75" bottom="0.75" header="0.3" footer="0.3"/>
  <pageSetup scale="54" orientation="portrait" r:id="rId1"/>
  <colBreaks count="1" manualBreakCount="1">
    <brk id="8" max="126" man="1"/>
  </colBreaks>
</worksheet>
</file>

<file path=xl/worksheets/sheet13.xml><?xml version="1.0" encoding="utf-8"?>
<worksheet xmlns="http://schemas.openxmlformats.org/spreadsheetml/2006/main" xmlns:r="http://schemas.openxmlformats.org/officeDocument/2006/relationships">
  <dimension ref="A2:N313"/>
  <sheetViews>
    <sheetView view="pageBreakPreview" topLeftCell="A230" zoomScale="80" workbookViewId="0">
      <selection activeCell="A2" sqref="A2:H2"/>
    </sheetView>
  </sheetViews>
  <sheetFormatPr defaultColWidth="9" defaultRowHeight="15"/>
  <cols>
    <col min="1" max="1" width="42.42578125" style="1" customWidth="1"/>
    <col min="2" max="2" width="12.7109375" style="1" customWidth="1"/>
    <col min="3" max="3" width="13.5703125" style="1" bestFit="1" customWidth="1"/>
    <col min="4" max="5" width="12.7109375" style="1" bestFit="1" customWidth="1"/>
    <col min="6" max="6" width="12.7109375" style="1" customWidth="1"/>
    <col min="7" max="10" width="12.7109375" style="1" bestFit="1" customWidth="1"/>
    <col min="11" max="11" width="10.5703125" style="1" customWidth="1"/>
    <col min="12" max="12" width="9" style="1"/>
    <col min="13" max="13" width="22.85546875" style="1" customWidth="1"/>
    <col min="14" max="14" width="12.85546875" style="1" customWidth="1"/>
    <col min="15" max="16384" width="9" style="1"/>
  </cols>
  <sheetData>
    <row r="2" spans="1:8">
      <c r="A2" s="456" t="s">
        <v>555</v>
      </c>
      <c r="B2" s="456"/>
      <c r="C2" s="456"/>
      <c r="D2" s="456"/>
      <c r="E2" s="456"/>
      <c r="F2" s="456"/>
      <c r="G2" s="456"/>
      <c r="H2" s="456"/>
    </row>
    <row r="3" spans="1:8">
      <c r="A3" s="456" t="s">
        <v>556</v>
      </c>
      <c r="B3" s="456"/>
      <c r="C3" s="456"/>
      <c r="D3" s="456"/>
      <c r="E3" s="456"/>
      <c r="F3" s="456"/>
      <c r="G3" s="456"/>
      <c r="H3" s="456"/>
    </row>
    <row r="4" spans="1:8">
      <c r="F4" s="456" t="s">
        <v>557</v>
      </c>
      <c r="G4" s="456"/>
      <c r="H4" s="456"/>
    </row>
    <row r="5" spans="1:8">
      <c r="A5" s="1" t="s">
        <v>124</v>
      </c>
      <c r="B5" s="5">
        <v>1.5</v>
      </c>
      <c r="C5" s="1" t="s">
        <v>558</v>
      </c>
      <c r="F5" s="7" t="s">
        <v>559</v>
      </c>
      <c r="G5" s="7" t="s">
        <v>560</v>
      </c>
    </row>
    <row r="6" spans="1:8">
      <c r="A6" s="1" t="s">
        <v>561</v>
      </c>
      <c r="B6" s="6">
        <v>10</v>
      </c>
      <c r="F6" s="9" t="s">
        <v>562</v>
      </c>
      <c r="G6" s="60">
        <v>0.03</v>
      </c>
    </row>
    <row r="7" spans="1:8">
      <c r="F7" s="9" t="s">
        <v>563</v>
      </c>
      <c r="G7" s="60">
        <v>0.01</v>
      </c>
    </row>
    <row r="8" spans="1:8">
      <c r="A8" s="1" t="s">
        <v>564</v>
      </c>
      <c r="B8" s="1">
        <v>120</v>
      </c>
      <c r="F8" s="9"/>
      <c r="G8" s="60"/>
    </row>
    <row r="9" spans="1:8">
      <c r="A9" s="28" t="s">
        <v>145</v>
      </c>
      <c r="B9" s="29" t="s">
        <v>148</v>
      </c>
      <c r="C9" s="29" t="s">
        <v>149</v>
      </c>
      <c r="D9" s="29" t="s">
        <v>150</v>
      </c>
      <c r="E9" s="29" t="s">
        <v>151</v>
      </c>
      <c r="F9" s="29" t="s">
        <v>152</v>
      </c>
      <c r="G9" s="29" t="s">
        <v>153</v>
      </c>
      <c r="H9" s="29" t="s">
        <v>154</v>
      </c>
    </row>
    <row r="10" spans="1:8">
      <c r="A10" s="9" t="s">
        <v>565</v>
      </c>
      <c r="B10" s="35">
        <f>B61/($B$5*$B$6)</f>
        <v>0</v>
      </c>
      <c r="C10" s="35">
        <f t="shared" ref="C10:H10" si="0">C61/($B$5*$B$6)</f>
        <v>0</v>
      </c>
      <c r="D10" s="35">
        <f t="shared" si="0"/>
        <v>0</v>
      </c>
      <c r="E10" s="35">
        <f t="shared" si="0"/>
        <v>0</v>
      </c>
      <c r="F10" s="35">
        <f t="shared" si="0"/>
        <v>0</v>
      </c>
      <c r="G10" s="35">
        <f t="shared" si="0"/>
        <v>0</v>
      </c>
      <c r="H10" s="35">
        <f t="shared" si="0"/>
        <v>0</v>
      </c>
    </row>
    <row r="11" spans="1:8" hidden="1">
      <c r="A11" s="62" t="str">
        <f>'10.Grain Production details'!A42</f>
        <v>Soybean</v>
      </c>
      <c r="B11" s="62">
        <f>'10.Grain Production details'!B42</f>
        <v>0</v>
      </c>
      <c r="C11" s="62">
        <f>'10.Grain Production details'!C42</f>
        <v>0</v>
      </c>
      <c r="D11" s="62">
        <f>'10.Grain Production details'!D42</f>
        <v>0</v>
      </c>
      <c r="E11" s="62">
        <f>'10.Grain Production details'!E42</f>
        <v>0</v>
      </c>
      <c r="F11" s="62">
        <f>'10.Grain Production details'!F42</f>
        <v>0</v>
      </c>
      <c r="G11" s="62">
        <f>'10.Grain Production details'!G42</f>
        <v>0</v>
      </c>
      <c r="H11" s="62">
        <f>'10.Grain Production details'!H42</f>
        <v>0</v>
      </c>
    </row>
    <row r="12" spans="1:8" hidden="1">
      <c r="A12" s="62" t="str">
        <f>'10.Grain Production details'!A43</f>
        <v>Red Gram/Tur</v>
      </c>
      <c r="B12" s="62">
        <f>'10.Grain Production details'!B43</f>
        <v>0</v>
      </c>
      <c r="C12" s="62">
        <f>'10.Grain Production details'!C43</f>
        <v>0</v>
      </c>
      <c r="D12" s="62">
        <f>'10.Grain Production details'!D43</f>
        <v>0</v>
      </c>
      <c r="E12" s="62">
        <f>'10.Grain Production details'!E43</f>
        <v>0</v>
      </c>
      <c r="F12" s="62">
        <f>'10.Grain Production details'!F43</f>
        <v>0</v>
      </c>
      <c r="G12" s="62">
        <f>'10.Grain Production details'!G43</f>
        <v>0</v>
      </c>
      <c r="H12" s="62">
        <f>'10.Grain Production details'!H43</f>
        <v>0</v>
      </c>
    </row>
    <row r="13" spans="1:8" hidden="1">
      <c r="A13" s="62" t="str">
        <f>'10.Grain Production details'!A44</f>
        <v>Paddy/Rice</v>
      </c>
      <c r="B13" s="62">
        <f>'10.Grain Production details'!B44</f>
        <v>0</v>
      </c>
      <c r="C13" s="62">
        <f>'10.Grain Production details'!C44</f>
        <v>0</v>
      </c>
      <c r="D13" s="62">
        <f>'10.Grain Production details'!D44</f>
        <v>0</v>
      </c>
      <c r="E13" s="62">
        <f>'10.Grain Production details'!E44</f>
        <v>0</v>
      </c>
      <c r="F13" s="62">
        <f>'10.Grain Production details'!F44</f>
        <v>0</v>
      </c>
      <c r="G13" s="62">
        <f>'10.Grain Production details'!G44</f>
        <v>0</v>
      </c>
      <c r="H13" s="62">
        <f>'10.Grain Production details'!H44</f>
        <v>0</v>
      </c>
    </row>
    <row r="14" spans="1:8" hidden="1">
      <c r="A14" s="62" t="str">
        <f>'10.Grain Production details'!A45</f>
        <v>Green Gram/ Moong</v>
      </c>
      <c r="B14" s="62">
        <f>'10.Grain Production details'!B45</f>
        <v>0</v>
      </c>
      <c r="C14" s="62">
        <f>'10.Grain Production details'!C45</f>
        <v>0</v>
      </c>
      <c r="D14" s="62">
        <f>'10.Grain Production details'!D45</f>
        <v>0</v>
      </c>
      <c r="E14" s="62">
        <f>'10.Grain Production details'!E45</f>
        <v>0</v>
      </c>
      <c r="F14" s="62">
        <f>'10.Grain Production details'!F45</f>
        <v>0</v>
      </c>
      <c r="G14" s="62">
        <f>'10.Grain Production details'!G45</f>
        <v>0</v>
      </c>
      <c r="H14" s="62">
        <f>'10.Grain Production details'!H45</f>
        <v>0</v>
      </c>
    </row>
    <row r="15" spans="1:8" hidden="1">
      <c r="A15" s="62" t="str">
        <f>'10.Grain Production details'!A46</f>
        <v>Maize</v>
      </c>
      <c r="B15" s="62">
        <f>'10.Grain Production details'!B46</f>
        <v>0</v>
      </c>
      <c r="C15" s="62">
        <f>'10.Grain Production details'!C46</f>
        <v>0</v>
      </c>
      <c r="D15" s="62">
        <f>'10.Grain Production details'!D46</f>
        <v>0</v>
      </c>
      <c r="E15" s="62">
        <f>'10.Grain Production details'!E46</f>
        <v>0</v>
      </c>
      <c r="F15" s="62">
        <f>'10.Grain Production details'!F46</f>
        <v>0</v>
      </c>
      <c r="G15" s="62">
        <f>'10.Grain Production details'!G46</f>
        <v>0</v>
      </c>
      <c r="H15" s="62">
        <f>'10.Grain Production details'!H46</f>
        <v>0</v>
      </c>
    </row>
    <row r="16" spans="1:8" hidden="1">
      <c r="A16" s="62" t="str">
        <f>'10.Grain Production details'!A47</f>
        <v>Black Gram/Udid</v>
      </c>
      <c r="B16" s="62">
        <f>'10.Grain Production details'!B47</f>
        <v>0</v>
      </c>
      <c r="C16" s="62">
        <f>'10.Grain Production details'!C47</f>
        <v>0</v>
      </c>
      <c r="D16" s="62">
        <f>'10.Grain Production details'!D47</f>
        <v>0</v>
      </c>
      <c r="E16" s="62">
        <f>'10.Grain Production details'!E47</f>
        <v>0</v>
      </c>
      <c r="F16" s="62">
        <f>'10.Grain Production details'!F47</f>
        <v>0</v>
      </c>
      <c r="G16" s="62">
        <f>'10.Grain Production details'!G47</f>
        <v>0</v>
      </c>
      <c r="H16" s="62">
        <f>'10.Grain Production details'!H47</f>
        <v>0</v>
      </c>
    </row>
    <row r="17" spans="1:8" hidden="1">
      <c r="A17" s="62" t="str">
        <f>'10.Grain Production details'!A48</f>
        <v>Bajra</v>
      </c>
      <c r="B17" s="62">
        <f>'10.Grain Production details'!B48</f>
        <v>0</v>
      </c>
      <c r="C17" s="62">
        <f>'10.Grain Production details'!C48</f>
        <v>0</v>
      </c>
      <c r="D17" s="62">
        <f>'10.Grain Production details'!D48</f>
        <v>0</v>
      </c>
      <c r="E17" s="62">
        <f>'10.Grain Production details'!E48</f>
        <v>0</v>
      </c>
      <c r="F17" s="62">
        <f>'10.Grain Production details'!F48</f>
        <v>0</v>
      </c>
      <c r="G17" s="62">
        <f>'10.Grain Production details'!G48</f>
        <v>0</v>
      </c>
      <c r="H17" s="62">
        <f>'10.Grain Production details'!H48</f>
        <v>0</v>
      </c>
    </row>
    <row r="18" spans="1:8" hidden="1">
      <c r="A18" s="62" t="str">
        <f>'10.Grain Production details'!A49</f>
        <v>Jawar</v>
      </c>
      <c r="B18" s="62">
        <f>'10.Grain Production details'!B49</f>
        <v>0</v>
      </c>
      <c r="C18" s="62">
        <f>'10.Grain Production details'!C49</f>
        <v>0</v>
      </c>
      <c r="D18" s="62">
        <f>'10.Grain Production details'!D49</f>
        <v>0</v>
      </c>
      <c r="E18" s="62">
        <f>'10.Grain Production details'!E49</f>
        <v>0</v>
      </c>
      <c r="F18" s="62">
        <f>'10.Grain Production details'!F49</f>
        <v>0</v>
      </c>
      <c r="G18" s="62">
        <f>'10.Grain Production details'!G49</f>
        <v>0</v>
      </c>
      <c r="H18" s="62">
        <f>'10.Grain Production details'!H49</f>
        <v>0</v>
      </c>
    </row>
    <row r="19" spans="1:8" hidden="1">
      <c r="A19" s="62" t="str">
        <f>'10.Grain Production details'!A50</f>
        <v>Sunflower</v>
      </c>
      <c r="B19" s="62">
        <f>'10.Grain Production details'!B50</f>
        <v>0</v>
      </c>
      <c r="C19" s="62">
        <f>'10.Grain Production details'!C50</f>
        <v>0</v>
      </c>
      <c r="D19" s="62">
        <f>'10.Grain Production details'!D50</f>
        <v>0</v>
      </c>
      <c r="E19" s="62">
        <f>'10.Grain Production details'!E50</f>
        <v>0</v>
      </c>
      <c r="F19" s="62">
        <f>'10.Grain Production details'!F50</f>
        <v>0</v>
      </c>
      <c r="G19" s="62">
        <f>'10.Grain Production details'!G50</f>
        <v>0</v>
      </c>
      <c r="H19" s="62">
        <f>'10.Grain Production details'!H50</f>
        <v>0</v>
      </c>
    </row>
    <row r="20" spans="1:8" hidden="1">
      <c r="A20" s="62" t="str">
        <f>'10.Grain Production details'!A51</f>
        <v>Wheat</v>
      </c>
      <c r="B20" s="62">
        <f>'10.Grain Production details'!B51</f>
        <v>0</v>
      </c>
      <c r="C20" s="62">
        <f>'10.Grain Production details'!C51</f>
        <v>0</v>
      </c>
      <c r="D20" s="62">
        <f>'10.Grain Production details'!D51</f>
        <v>0</v>
      </c>
      <c r="E20" s="62">
        <f>'10.Grain Production details'!E51</f>
        <v>0</v>
      </c>
      <c r="F20" s="62">
        <f>'10.Grain Production details'!F51</f>
        <v>0</v>
      </c>
      <c r="G20" s="62">
        <f>'10.Grain Production details'!G51</f>
        <v>0</v>
      </c>
      <c r="H20" s="62">
        <f>'10.Grain Production details'!H51</f>
        <v>0</v>
      </c>
    </row>
    <row r="21" spans="1:8" hidden="1">
      <c r="A21" s="62" t="str">
        <f>'10.Grain Production details'!A52</f>
        <v>Bengal Gram/Channa</v>
      </c>
      <c r="B21" s="62">
        <f>'10.Grain Production details'!B52</f>
        <v>0</v>
      </c>
      <c r="C21" s="62">
        <f>'10.Grain Production details'!C52</f>
        <v>0</v>
      </c>
      <c r="D21" s="62">
        <f>'10.Grain Production details'!D52</f>
        <v>0</v>
      </c>
      <c r="E21" s="62">
        <f>'10.Grain Production details'!E52</f>
        <v>0</v>
      </c>
      <c r="F21" s="62">
        <f>'10.Grain Production details'!F52</f>
        <v>0</v>
      </c>
      <c r="G21" s="62">
        <f>'10.Grain Production details'!G52</f>
        <v>0</v>
      </c>
      <c r="H21" s="62">
        <f>'10.Grain Production details'!H52</f>
        <v>0</v>
      </c>
    </row>
    <row r="22" spans="1:8" hidden="1">
      <c r="A22" s="62" t="str">
        <f>'10.Grain Production details'!A53</f>
        <v>Jawar</v>
      </c>
      <c r="B22" s="62">
        <f>'10.Grain Production details'!B53</f>
        <v>0</v>
      </c>
      <c r="C22" s="62">
        <f>'10.Grain Production details'!C53</f>
        <v>0</v>
      </c>
      <c r="D22" s="62">
        <f>'10.Grain Production details'!D53</f>
        <v>0</v>
      </c>
      <c r="E22" s="62">
        <f>'10.Grain Production details'!E53</f>
        <v>0</v>
      </c>
      <c r="F22" s="62">
        <f>'10.Grain Production details'!F53</f>
        <v>0</v>
      </c>
      <c r="G22" s="62">
        <f>'10.Grain Production details'!G53</f>
        <v>0</v>
      </c>
      <c r="H22" s="62">
        <f>'10.Grain Production details'!H53</f>
        <v>0</v>
      </c>
    </row>
    <row r="23" spans="1:8" hidden="1">
      <c r="A23" s="62" t="str">
        <f>'10.Grain Production details'!A54</f>
        <v>Maize</v>
      </c>
      <c r="B23" s="62">
        <f>'10.Grain Production details'!B54</f>
        <v>0</v>
      </c>
      <c r="C23" s="62">
        <f>'10.Grain Production details'!C54</f>
        <v>0</v>
      </c>
      <c r="D23" s="62">
        <f>'10.Grain Production details'!D54</f>
        <v>0</v>
      </c>
      <c r="E23" s="62">
        <f>'10.Grain Production details'!E54</f>
        <v>0</v>
      </c>
      <c r="F23" s="62">
        <f>'10.Grain Production details'!F54</f>
        <v>0</v>
      </c>
      <c r="G23" s="62">
        <f>'10.Grain Production details'!G54</f>
        <v>0</v>
      </c>
      <c r="H23" s="62">
        <f>'10.Grain Production details'!H54</f>
        <v>0</v>
      </c>
    </row>
    <row r="24" spans="1:8" hidden="1">
      <c r="A24" s="62" t="str">
        <f>'10.Grain Production details'!A55</f>
        <v>Safflower</v>
      </c>
      <c r="B24" s="62">
        <f>'10.Grain Production details'!B55</f>
        <v>0</v>
      </c>
      <c r="C24" s="62">
        <f>'10.Grain Production details'!C55</f>
        <v>0</v>
      </c>
      <c r="D24" s="62">
        <f>'10.Grain Production details'!D55</f>
        <v>0</v>
      </c>
      <c r="E24" s="62">
        <f>'10.Grain Production details'!E55</f>
        <v>0</v>
      </c>
      <c r="F24" s="62">
        <f>'10.Grain Production details'!F55</f>
        <v>0</v>
      </c>
      <c r="G24" s="62">
        <f>'10.Grain Production details'!G55</f>
        <v>0</v>
      </c>
      <c r="H24" s="62">
        <f>'10.Grain Production details'!H55</f>
        <v>0</v>
      </c>
    </row>
    <row r="25" spans="1:8" hidden="1">
      <c r="A25" s="62">
        <f>'10.Grain Production details'!A56</f>
        <v>0</v>
      </c>
      <c r="B25" s="62">
        <f>'10.Grain Production details'!B56</f>
        <v>0</v>
      </c>
      <c r="C25" s="62">
        <f>'10.Grain Production details'!C56</f>
        <v>0</v>
      </c>
      <c r="D25" s="62">
        <f>'10.Grain Production details'!D56</f>
        <v>0</v>
      </c>
      <c r="E25" s="62">
        <f>'10.Grain Production details'!E56</f>
        <v>0</v>
      </c>
      <c r="F25" s="62">
        <f>'10.Grain Production details'!F56</f>
        <v>0</v>
      </c>
      <c r="G25" s="62">
        <f>'10.Grain Production details'!G56</f>
        <v>0</v>
      </c>
      <c r="H25" s="62">
        <f>'10.Grain Production details'!H56</f>
        <v>0</v>
      </c>
    </row>
    <row r="26" spans="1:8" hidden="1">
      <c r="A26" s="62">
        <f>'10.Grain Production details'!A57</f>
        <v>0</v>
      </c>
      <c r="B26" s="62">
        <f>'10.Grain Production details'!B57</f>
        <v>0</v>
      </c>
      <c r="C26" s="62">
        <f>'10.Grain Production details'!C57</f>
        <v>0</v>
      </c>
      <c r="D26" s="62">
        <f>'10.Grain Production details'!D57</f>
        <v>0</v>
      </c>
      <c r="E26" s="62">
        <f>'10.Grain Production details'!E57</f>
        <v>0</v>
      </c>
      <c r="F26" s="62">
        <f>'10.Grain Production details'!F57</f>
        <v>0</v>
      </c>
      <c r="G26" s="62">
        <f>'10.Grain Production details'!G57</f>
        <v>0</v>
      </c>
      <c r="H26" s="62">
        <f>'10.Grain Production details'!H57</f>
        <v>0</v>
      </c>
    </row>
    <row r="27" spans="1:8" hidden="1">
      <c r="A27" s="62">
        <f>'10.Grain Production details'!A58</f>
        <v>0</v>
      </c>
      <c r="B27" s="62">
        <f>'10.Grain Production details'!B58</f>
        <v>0</v>
      </c>
      <c r="C27" s="62">
        <f>'10.Grain Production details'!C58</f>
        <v>0</v>
      </c>
      <c r="D27" s="62">
        <f>'10.Grain Production details'!D58</f>
        <v>0</v>
      </c>
      <c r="E27" s="62">
        <f>'10.Grain Production details'!E58</f>
        <v>0</v>
      </c>
      <c r="F27" s="62">
        <f>'10.Grain Production details'!F58</f>
        <v>0</v>
      </c>
      <c r="G27" s="62">
        <f>'10.Grain Production details'!G58</f>
        <v>0</v>
      </c>
      <c r="H27" s="62">
        <f>'10.Grain Production details'!H58</f>
        <v>0</v>
      </c>
    </row>
    <row r="28" spans="1:8" hidden="1">
      <c r="A28" s="62" t="str">
        <f>'10.Grain Production details'!A59</f>
        <v>Groundnut</v>
      </c>
      <c r="B28" s="62">
        <f>'10.Grain Production details'!B59</f>
        <v>0</v>
      </c>
      <c r="C28" s="62">
        <f>'10.Grain Production details'!C59</f>
        <v>0</v>
      </c>
      <c r="D28" s="62">
        <f>'10.Grain Production details'!D59</f>
        <v>0</v>
      </c>
      <c r="E28" s="62">
        <f>'10.Grain Production details'!E59</f>
        <v>0</v>
      </c>
      <c r="F28" s="62">
        <f>'10.Grain Production details'!F59</f>
        <v>0</v>
      </c>
      <c r="G28" s="62">
        <f>'10.Grain Production details'!G59</f>
        <v>0</v>
      </c>
      <c r="H28" s="62">
        <f>'10.Grain Production details'!H59</f>
        <v>0</v>
      </c>
    </row>
    <row r="29" spans="1:8" hidden="1">
      <c r="A29" s="62">
        <f>'10.Grain Production details'!A60</f>
        <v>0</v>
      </c>
      <c r="B29" s="62">
        <f>'10.Grain Production details'!B60</f>
        <v>0</v>
      </c>
      <c r="C29" s="62">
        <f>'10.Grain Production details'!C60</f>
        <v>0</v>
      </c>
      <c r="D29" s="62">
        <f>'10.Grain Production details'!D60</f>
        <v>0</v>
      </c>
      <c r="E29" s="62">
        <f>'10.Grain Production details'!E60</f>
        <v>0</v>
      </c>
      <c r="F29" s="62">
        <f>'10.Grain Production details'!F60</f>
        <v>0</v>
      </c>
      <c r="G29" s="62">
        <f>'10.Grain Production details'!G60</f>
        <v>0</v>
      </c>
      <c r="H29" s="62">
        <f>'10.Grain Production details'!H60</f>
        <v>0</v>
      </c>
    </row>
    <row r="30" spans="1:8" hidden="1">
      <c r="A30" s="62">
        <f>'10.Grain Production details'!A61</f>
        <v>0</v>
      </c>
      <c r="B30" s="62">
        <f>'10.Grain Production details'!B61</f>
        <v>0</v>
      </c>
      <c r="C30" s="62">
        <f>'10.Grain Production details'!C61</f>
        <v>0</v>
      </c>
      <c r="D30" s="62">
        <f>'10.Grain Production details'!D61</f>
        <v>0</v>
      </c>
      <c r="E30" s="62">
        <f>'10.Grain Production details'!E61</f>
        <v>0</v>
      </c>
      <c r="F30" s="62">
        <f>'10.Grain Production details'!F61</f>
        <v>0</v>
      </c>
      <c r="G30" s="62">
        <f>'10.Grain Production details'!G61</f>
        <v>0</v>
      </c>
      <c r="H30" s="62">
        <f>'10.Grain Production details'!H61</f>
        <v>0</v>
      </c>
    </row>
    <row r="31" spans="1:8" hidden="1">
      <c r="A31" s="62">
        <f>'10.Grain Production details'!A62</f>
        <v>0</v>
      </c>
      <c r="B31" s="62">
        <f>'10.Grain Production details'!B62</f>
        <v>0</v>
      </c>
      <c r="C31" s="62">
        <f>'10.Grain Production details'!C62</f>
        <v>0</v>
      </c>
      <c r="D31" s="62">
        <f>'10.Grain Production details'!D62</f>
        <v>0</v>
      </c>
      <c r="E31" s="62">
        <f>'10.Grain Production details'!E62</f>
        <v>0</v>
      </c>
      <c r="F31" s="62">
        <f>'10.Grain Production details'!F62</f>
        <v>0</v>
      </c>
      <c r="G31" s="62">
        <f>'10.Grain Production details'!G62</f>
        <v>0</v>
      </c>
      <c r="H31" s="62">
        <f>'10.Grain Production details'!H62</f>
        <v>0</v>
      </c>
    </row>
    <row r="32" spans="1:8" hidden="1">
      <c r="A32" s="62">
        <f>'10.Grain Production details'!B63</f>
        <v>0</v>
      </c>
      <c r="B32" s="62">
        <f>'10.Grain Production details'!C63</f>
        <v>0</v>
      </c>
      <c r="C32" s="62">
        <f>'10.Grain Production details'!D63</f>
        <v>0</v>
      </c>
      <c r="D32" s="62">
        <f>'10.Grain Production details'!E63</f>
        <v>0</v>
      </c>
      <c r="E32" s="62">
        <f>'10.Grain Production details'!F63</f>
        <v>0</v>
      </c>
      <c r="F32" s="62">
        <f>'10.Grain Production details'!G63</f>
        <v>0</v>
      </c>
      <c r="G32" s="62">
        <f>'10.Grain Production details'!H63</f>
        <v>0</v>
      </c>
      <c r="H32" s="62">
        <f>'10.Grain Production details'!I63</f>
        <v>0</v>
      </c>
    </row>
    <row r="33" spans="1:8" hidden="1">
      <c r="A33" s="16" t="s">
        <v>566</v>
      </c>
      <c r="B33" s="62">
        <f t="shared" ref="B33:H33" si="1">SUM(B11:B32)</f>
        <v>0</v>
      </c>
      <c r="C33" s="62">
        <f t="shared" si="1"/>
        <v>0</v>
      </c>
      <c r="D33" s="62">
        <f t="shared" si="1"/>
        <v>0</v>
      </c>
      <c r="E33" s="62">
        <f t="shared" si="1"/>
        <v>0</v>
      </c>
      <c r="F33" s="62">
        <f t="shared" si="1"/>
        <v>0</v>
      </c>
      <c r="G33" s="62">
        <f t="shared" si="1"/>
        <v>0</v>
      </c>
      <c r="H33" s="62">
        <f t="shared" si="1"/>
        <v>0</v>
      </c>
    </row>
    <row r="34" spans="1:8" hidden="1">
      <c r="A34" s="62" t="str">
        <f>'11.F&amp;V Crop Production details'!A1:H1</f>
        <v>Fruit  &amp; Vegetables Crop Production Details</v>
      </c>
      <c r="B34" s="62"/>
      <c r="C34" s="62"/>
      <c r="D34" s="62"/>
      <c r="E34" s="62"/>
      <c r="F34" s="62"/>
      <c r="G34" s="62"/>
      <c r="H34" s="62"/>
    </row>
    <row r="35" spans="1:8" hidden="1">
      <c r="A35" s="62" t="str">
        <f>'11.F&amp;V Crop Production details'!A46</f>
        <v>Onion</v>
      </c>
      <c r="B35" s="62">
        <f>'11.F&amp;V Crop Production details'!B46</f>
        <v>0</v>
      </c>
      <c r="C35" s="62">
        <f>'11.F&amp;V Crop Production details'!C46</f>
        <v>0</v>
      </c>
      <c r="D35" s="62">
        <f>'11.F&amp;V Crop Production details'!D46</f>
        <v>0</v>
      </c>
      <c r="E35" s="62">
        <f>'11.F&amp;V Crop Production details'!E46</f>
        <v>0</v>
      </c>
      <c r="F35" s="62">
        <f>'11.F&amp;V Crop Production details'!F46</f>
        <v>0</v>
      </c>
      <c r="G35" s="62">
        <f>'11.F&amp;V Crop Production details'!G46</f>
        <v>0</v>
      </c>
      <c r="H35" s="62">
        <f>'11.F&amp;V Crop Production details'!H46</f>
        <v>0</v>
      </c>
    </row>
    <row r="36" spans="1:8" hidden="1">
      <c r="A36" s="62" t="str">
        <f>'11.F&amp;V Crop Production details'!A47</f>
        <v>Tomato</v>
      </c>
      <c r="B36" s="62">
        <f>'11.F&amp;V Crop Production details'!B47</f>
        <v>0</v>
      </c>
      <c r="C36" s="62">
        <f>'11.F&amp;V Crop Production details'!C47</f>
        <v>0</v>
      </c>
      <c r="D36" s="62">
        <f>'11.F&amp;V Crop Production details'!D47</f>
        <v>0</v>
      </c>
      <c r="E36" s="62">
        <f>'11.F&amp;V Crop Production details'!E47</f>
        <v>0</v>
      </c>
      <c r="F36" s="62">
        <f>'11.F&amp;V Crop Production details'!F47</f>
        <v>0</v>
      </c>
      <c r="G36" s="62">
        <f>'11.F&amp;V Crop Production details'!G47</f>
        <v>0</v>
      </c>
      <c r="H36" s="62">
        <f>'11.F&amp;V Crop Production details'!H47</f>
        <v>0</v>
      </c>
    </row>
    <row r="37" spans="1:8" hidden="1">
      <c r="A37" s="62" t="str">
        <f>'11.F&amp;V Crop Production details'!A48</f>
        <v>Okra</v>
      </c>
      <c r="B37" s="62">
        <f>'11.F&amp;V Crop Production details'!B48</f>
        <v>0</v>
      </c>
      <c r="C37" s="62">
        <f>'11.F&amp;V Crop Production details'!C48</f>
        <v>0</v>
      </c>
      <c r="D37" s="62">
        <f>'11.F&amp;V Crop Production details'!D48</f>
        <v>0</v>
      </c>
      <c r="E37" s="62">
        <f>'11.F&amp;V Crop Production details'!E48</f>
        <v>0</v>
      </c>
      <c r="F37" s="62">
        <f>'11.F&amp;V Crop Production details'!F48</f>
        <v>0</v>
      </c>
      <c r="G37" s="62">
        <f>'11.F&amp;V Crop Production details'!G48</f>
        <v>0</v>
      </c>
      <c r="H37" s="62">
        <f>'11.F&amp;V Crop Production details'!H48</f>
        <v>0</v>
      </c>
    </row>
    <row r="38" spans="1:8" hidden="1">
      <c r="A38" s="62" t="str">
        <f>'11.F&amp;V Crop Production details'!A49</f>
        <v>Chilli</v>
      </c>
      <c r="B38" s="62">
        <f>'11.F&amp;V Crop Production details'!B49</f>
        <v>0</v>
      </c>
      <c r="C38" s="62">
        <f>'11.F&amp;V Crop Production details'!C49</f>
        <v>0</v>
      </c>
      <c r="D38" s="62">
        <f>'11.F&amp;V Crop Production details'!D49</f>
        <v>0</v>
      </c>
      <c r="E38" s="62">
        <f>'11.F&amp;V Crop Production details'!E49</f>
        <v>0</v>
      </c>
      <c r="F38" s="62">
        <f>'11.F&amp;V Crop Production details'!F49</f>
        <v>0</v>
      </c>
      <c r="G38" s="62">
        <f>'11.F&amp;V Crop Production details'!G49</f>
        <v>0</v>
      </c>
      <c r="H38" s="62">
        <f>'11.F&amp;V Crop Production details'!H49</f>
        <v>0</v>
      </c>
    </row>
    <row r="39" spans="1:8" hidden="1">
      <c r="A39" s="62" t="str">
        <f>'11.F&amp;V Crop Production details'!A50</f>
        <v>Potato</v>
      </c>
      <c r="B39" s="62">
        <f>'11.F&amp;V Crop Production details'!B50</f>
        <v>0</v>
      </c>
      <c r="C39" s="62">
        <f>'11.F&amp;V Crop Production details'!C50</f>
        <v>0</v>
      </c>
      <c r="D39" s="62">
        <f>'11.F&amp;V Crop Production details'!D50</f>
        <v>0</v>
      </c>
      <c r="E39" s="62">
        <f>'11.F&amp;V Crop Production details'!E50</f>
        <v>0</v>
      </c>
      <c r="F39" s="62">
        <f>'11.F&amp;V Crop Production details'!F50</f>
        <v>0</v>
      </c>
      <c r="G39" s="62">
        <f>'11.F&amp;V Crop Production details'!G50</f>
        <v>0</v>
      </c>
      <c r="H39" s="62">
        <f>'11.F&amp;V Crop Production details'!H50</f>
        <v>0</v>
      </c>
    </row>
    <row r="40" spans="1:8" hidden="1">
      <c r="A40" s="62">
        <f>'11.F&amp;V Crop Production details'!A51</f>
        <v>0</v>
      </c>
      <c r="B40" s="62">
        <f>'11.F&amp;V Crop Production details'!B51</f>
        <v>0</v>
      </c>
      <c r="C40" s="62">
        <f>'11.F&amp;V Crop Production details'!C51</f>
        <v>0</v>
      </c>
      <c r="D40" s="62">
        <f>'11.F&amp;V Crop Production details'!D51</f>
        <v>0</v>
      </c>
      <c r="E40" s="62">
        <f>'11.F&amp;V Crop Production details'!E51</f>
        <v>0</v>
      </c>
      <c r="F40" s="62">
        <f>'11.F&amp;V Crop Production details'!F51</f>
        <v>0</v>
      </c>
      <c r="G40" s="62">
        <f>'11.F&amp;V Crop Production details'!G51</f>
        <v>0</v>
      </c>
      <c r="H40" s="62">
        <f>'11.F&amp;V Crop Production details'!H51</f>
        <v>0</v>
      </c>
    </row>
    <row r="41" spans="1:8" hidden="1">
      <c r="A41" s="62">
        <f>'11.F&amp;V Crop Production details'!A52</f>
        <v>0</v>
      </c>
      <c r="B41" s="62">
        <f>'11.F&amp;V Crop Production details'!B52</f>
        <v>0</v>
      </c>
      <c r="C41" s="62">
        <f>'11.F&amp;V Crop Production details'!C52</f>
        <v>0</v>
      </c>
      <c r="D41" s="62">
        <f>'11.F&amp;V Crop Production details'!D52</f>
        <v>0</v>
      </c>
      <c r="E41" s="62">
        <f>'11.F&amp;V Crop Production details'!E52</f>
        <v>0</v>
      </c>
      <c r="F41" s="62">
        <f>'11.F&amp;V Crop Production details'!F52</f>
        <v>0</v>
      </c>
      <c r="G41" s="62">
        <f>'11.F&amp;V Crop Production details'!G52</f>
        <v>0</v>
      </c>
      <c r="H41" s="62">
        <f>'11.F&amp;V Crop Production details'!H52</f>
        <v>0</v>
      </c>
    </row>
    <row r="42" spans="1:8" hidden="1">
      <c r="A42" s="62">
        <f>'11.F&amp;V Crop Production details'!A53</f>
        <v>0</v>
      </c>
      <c r="B42" s="62">
        <f>'11.F&amp;V Crop Production details'!B53</f>
        <v>0</v>
      </c>
      <c r="C42" s="62">
        <f>'11.F&amp;V Crop Production details'!C53</f>
        <v>0</v>
      </c>
      <c r="D42" s="62">
        <f>'11.F&amp;V Crop Production details'!D53</f>
        <v>0</v>
      </c>
      <c r="E42" s="62">
        <f>'11.F&amp;V Crop Production details'!E53</f>
        <v>0</v>
      </c>
      <c r="F42" s="62">
        <f>'11.F&amp;V Crop Production details'!F53</f>
        <v>0</v>
      </c>
      <c r="G42" s="62">
        <f>'11.F&amp;V Crop Production details'!G53</f>
        <v>0</v>
      </c>
      <c r="H42" s="62">
        <f>'11.F&amp;V Crop Production details'!H53</f>
        <v>0</v>
      </c>
    </row>
    <row r="43" spans="1:8" hidden="1">
      <c r="A43" s="62">
        <f>'11.F&amp;V Crop Production details'!A54</f>
        <v>0</v>
      </c>
      <c r="B43" s="62">
        <f>'11.F&amp;V Crop Production details'!B54</f>
        <v>0</v>
      </c>
      <c r="C43" s="62">
        <f>'11.F&amp;V Crop Production details'!C54</f>
        <v>0</v>
      </c>
      <c r="D43" s="62">
        <f>'11.F&amp;V Crop Production details'!D54</f>
        <v>0</v>
      </c>
      <c r="E43" s="62">
        <f>'11.F&amp;V Crop Production details'!E54</f>
        <v>0</v>
      </c>
      <c r="F43" s="62">
        <f>'11.F&amp;V Crop Production details'!F54</f>
        <v>0</v>
      </c>
      <c r="G43" s="62">
        <f>'11.F&amp;V Crop Production details'!G54</f>
        <v>0</v>
      </c>
      <c r="H43" s="62">
        <f>'11.F&amp;V Crop Production details'!H54</f>
        <v>0</v>
      </c>
    </row>
    <row r="44" spans="1:8" hidden="1">
      <c r="A44" s="62" t="str">
        <f>'11.F&amp;V Crop Production details'!A55</f>
        <v>Onion</v>
      </c>
      <c r="B44" s="62">
        <f>'11.F&amp;V Crop Production details'!B55</f>
        <v>0</v>
      </c>
      <c r="C44" s="62">
        <f>'11.F&amp;V Crop Production details'!C55</f>
        <v>0</v>
      </c>
      <c r="D44" s="62">
        <f>'11.F&amp;V Crop Production details'!D55</f>
        <v>0</v>
      </c>
      <c r="E44" s="62">
        <f>'11.F&amp;V Crop Production details'!E55</f>
        <v>0</v>
      </c>
      <c r="F44" s="62">
        <f>'11.F&amp;V Crop Production details'!F55</f>
        <v>0</v>
      </c>
      <c r="G44" s="62">
        <f>'11.F&amp;V Crop Production details'!G55</f>
        <v>0</v>
      </c>
      <c r="H44" s="62">
        <f>'11.F&amp;V Crop Production details'!H55</f>
        <v>0</v>
      </c>
    </row>
    <row r="45" spans="1:8" hidden="1">
      <c r="A45" s="62" t="str">
        <f>'11.F&amp;V Crop Production details'!A56</f>
        <v>Tomato</v>
      </c>
      <c r="B45" s="62">
        <f>'11.F&amp;V Crop Production details'!B56</f>
        <v>0</v>
      </c>
      <c r="C45" s="62">
        <f>'11.F&amp;V Crop Production details'!C56</f>
        <v>0</v>
      </c>
      <c r="D45" s="62">
        <f>'11.F&amp;V Crop Production details'!D56</f>
        <v>0</v>
      </c>
      <c r="E45" s="62">
        <f>'11.F&amp;V Crop Production details'!E56</f>
        <v>0</v>
      </c>
      <c r="F45" s="62">
        <f>'11.F&amp;V Crop Production details'!F56</f>
        <v>0</v>
      </c>
      <c r="G45" s="62">
        <f>'11.F&amp;V Crop Production details'!G56</f>
        <v>0</v>
      </c>
      <c r="H45" s="62">
        <f>'11.F&amp;V Crop Production details'!H56</f>
        <v>0</v>
      </c>
    </row>
    <row r="46" spans="1:8" hidden="1">
      <c r="A46" s="62" t="str">
        <f>'11.F&amp;V Crop Production details'!A57</f>
        <v>Okra</v>
      </c>
      <c r="B46" s="62">
        <f>'11.F&amp;V Crop Production details'!B57</f>
        <v>0</v>
      </c>
      <c r="C46" s="62">
        <f>'11.F&amp;V Crop Production details'!C57</f>
        <v>0</v>
      </c>
      <c r="D46" s="62">
        <f>'11.F&amp;V Crop Production details'!D57</f>
        <v>0</v>
      </c>
      <c r="E46" s="62">
        <f>'11.F&amp;V Crop Production details'!E57</f>
        <v>0</v>
      </c>
      <c r="F46" s="62">
        <f>'11.F&amp;V Crop Production details'!F57</f>
        <v>0</v>
      </c>
      <c r="G46" s="62">
        <f>'11.F&amp;V Crop Production details'!G57</f>
        <v>0</v>
      </c>
      <c r="H46" s="62">
        <f>'11.F&amp;V Crop Production details'!H57</f>
        <v>0</v>
      </c>
    </row>
    <row r="47" spans="1:8" hidden="1">
      <c r="A47" s="62" t="str">
        <f>'11.F&amp;V Crop Production details'!A58</f>
        <v>Chilli</v>
      </c>
      <c r="B47" s="62">
        <f>'11.F&amp;V Crop Production details'!B58</f>
        <v>0</v>
      </c>
      <c r="C47" s="62">
        <f>'11.F&amp;V Crop Production details'!C58</f>
        <v>0</v>
      </c>
      <c r="D47" s="62">
        <f>'11.F&amp;V Crop Production details'!D58</f>
        <v>0</v>
      </c>
      <c r="E47" s="62">
        <f>'11.F&amp;V Crop Production details'!E58</f>
        <v>0</v>
      </c>
      <c r="F47" s="62">
        <f>'11.F&amp;V Crop Production details'!F58</f>
        <v>0</v>
      </c>
      <c r="G47" s="62">
        <f>'11.F&amp;V Crop Production details'!G58</f>
        <v>0</v>
      </c>
      <c r="H47" s="62">
        <f>'11.F&amp;V Crop Production details'!H58</f>
        <v>0</v>
      </c>
    </row>
    <row r="48" spans="1:8" hidden="1">
      <c r="A48" s="62" t="str">
        <f>'11.F&amp;V Crop Production details'!A59</f>
        <v>Brinjal</v>
      </c>
      <c r="B48" s="62">
        <f>'11.F&amp;V Crop Production details'!B59</f>
        <v>0</v>
      </c>
      <c r="C48" s="62">
        <f>'11.F&amp;V Crop Production details'!C59</f>
        <v>0</v>
      </c>
      <c r="D48" s="62">
        <f>'11.F&amp;V Crop Production details'!D59</f>
        <v>0</v>
      </c>
      <c r="E48" s="62">
        <f>'11.F&amp;V Crop Production details'!E59</f>
        <v>0</v>
      </c>
      <c r="F48" s="62">
        <f>'11.F&amp;V Crop Production details'!F59</f>
        <v>0</v>
      </c>
      <c r="G48" s="62">
        <f>'11.F&amp;V Crop Production details'!G59</f>
        <v>0</v>
      </c>
      <c r="H48" s="62">
        <f>'11.F&amp;V Crop Production details'!H59</f>
        <v>0</v>
      </c>
    </row>
    <row r="49" spans="1:8" hidden="1">
      <c r="A49" s="62" t="str">
        <f>'11.F&amp;V Crop Production details'!A60</f>
        <v>Cashew</v>
      </c>
      <c r="B49" s="62">
        <f>'11.F&amp;V Crop Production details'!B60</f>
        <v>0</v>
      </c>
      <c r="C49" s="62">
        <f>'11.F&amp;V Crop Production details'!C60</f>
        <v>0</v>
      </c>
      <c r="D49" s="62">
        <f>'11.F&amp;V Crop Production details'!D60</f>
        <v>0</v>
      </c>
      <c r="E49" s="62">
        <f>'11.F&amp;V Crop Production details'!E60</f>
        <v>0</v>
      </c>
      <c r="F49" s="62">
        <f>'11.F&amp;V Crop Production details'!F60</f>
        <v>0</v>
      </c>
      <c r="G49" s="62">
        <f>'11.F&amp;V Crop Production details'!G60</f>
        <v>0</v>
      </c>
      <c r="H49" s="62">
        <f>'11.F&amp;V Crop Production details'!H60</f>
        <v>0</v>
      </c>
    </row>
    <row r="50" spans="1:8" hidden="1">
      <c r="A50" s="62">
        <f>'11.F&amp;V Crop Production details'!A61</f>
        <v>0</v>
      </c>
      <c r="B50" s="62">
        <f>'11.F&amp;V Crop Production details'!B61</f>
        <v>0</v>
      </c>
      <c r="C50" s="62">
        <f>'11.F&amp;V Crop Production details'!C61</f>
        <v>0</v>
      </c>
      <c r="D50" s="62">
        <f>'11.F&amp;V Crop Production details'!D61</f>
        <v>0</v>
      </c>
      <c r="E50" s="62">
        <f>'11.F&amp;V Crop Production details'!E61</f>
        <v>0</v>
      </c>
      <c r="F50" s="62">
        <f>'11.F&amp;V Crop Production details'!F61</f>
        <v>0</v>
      </c>
      <c r="G50" s="62">
        <f>'11.F&amp;V Crop Production details'!G61</f>
        <v>0</v>
      </c>
      <c r="H50" s="62">
        <f>'11.F&amp;V Crop Production details'!H61</f>
        <v>0</v>
      </c>
    </row>
    <row r="51" spans="1:8" hidden="1">
      <c r="A51" s="62">
        <f>'11.F&amp;V Crop Production details'!A62</f>
        <v>0</v>
      </c>
      <c r="B51" s="62">
        <f>'11.F&amp;V Crop Production details'!B62</f>
        <v>0</v>
      </c>
      <c r="C51" s="62">
        <f>'11.F&amp;V Crop Production details'!C62</f>
        <v>0</v>
      </c>
      <c r="D51" s="62">
        <f>'11.F&amp;V Crop Production details'!D62</f>
        <v>0</v>
      </c>
      <c r="E51" s="62">
        <f>'11.F&amp;V Crop Production details'!E62</f>
        <v>0</v>
      </c>
      <c r="F51" s="62">
        <f>'11.F&amp;V Crop Production details'!F62</f>
        <v>0</v>
      </c>
      <c r="G51" s="62">
        <f>'11.F&amp;V Crop Production details'!G62</f>
        <v>0</v>
      </c>
      <c r="H51" s="62">
        <f>'11.F&amp;V Crop Production details'!H62</f>
        <v>0</v>
      </c>
    </row>
    <row r="52" spans="1:8" hidden="1">
      <c r="A52" s="62">
        <f>'11.F&amp;V Crop Production details'!A63</f>
        <v>0</v>
      </c>
      <c r="B52" s="62">
        <f>'11.F&amp;V Crop Production details'!B63</f>
        <v>0</v>
      </c>
      <c r="C52" s="62">
        <f>'11.F&amp;V Crop Production details'!C63</f>
        <v>0</v>
      </c>
      <c r="D52" s="62">
        <f>'11.F&amp;V Crop Production details'!D63</f>
        <v>0</v>
      </c>
      <c r="E52" s="62">
        <f>'11.F&amp;V Crop Production details'!E63</f>
        <v>0</v>
      </c>
      <c r="F52" s="62">
        <f>'11.F&amp;V Crop Production details'!F63</f>
        <v>0</v>
      </c>
      <c r="G52" s="62">
        <f>'11.F&amp;V Crop Production details'!G63</f>
        <v>0</v>
      </c>
      <c r="H52" s="62">
        <f>'11.F&amp;V Crop Production details'!H63</f>
        <v>0</v>
      </c>
    </row>
    <row r="53" spans="1:8" hidden="1">
      <c r="A53" s="62">
        <f>'11.F&amp;V Crop Production details'!A64</f>
        <v>0</v>
      </c>
      <c r="B53" s="62"/>
      <c r="C53" s="62"/>
      <c r="D53" s="62"/>
      <c r="E53" s="62"/>
      <c r="F53" s="62"/>
      <c r="G53" s="62"/>
      <c r="H53" s="62"/>
    </row>
    <row r="54" spans="1:8" hidden="1">
      <c r="A54" s="62">
        <f>'11.F&amp;V Crop Production details'!A65</f>
        <v>0</v>
      </c>
      <c r="B54" s="62"/>
      <c r="C54" s="62"/>
      <c r="D54" s="62"/>
      <c r="E54" s="62"/>
      <c r="F54" s="62"/>
      <c r="G54" s="62"/>
      <c r="H54" s="62"/>
    </row>
    <row r="55" spans="1:8" hidden="1">
      <c r="A55" s="62">
        <f>'11.F&amp;V Crop Production details'!A66</f>
        <v>0</v>
      </c>
      <c r="B55" s="62"/>
      <c r="C55" s="62"/>
      <c r="D55" s="62"/>
      <c r="E55" s="62"/>
      <c r="F55" s="62"/>
      <c r="G55" s="62"/>
      <c r="H55" s="62"/>
    </row>
    <row r="56" spans="1:8">
      <c r="A56" s="62" t="str">
        <f>'11.F&amp;V Crop Production details'!A67</f>
        <v>Cashew</v>
      </c>
      <c r="B56" s="62">
        <f>'11.F&amp;V Crop Production details'!B67</f>
        <v>0</v>
      </c>
      <c r="C56" s="62">
        <f>'11.F&amp;V Crop Production details'!C67</f>
        <v>0</v>
      </c>
      <c r="D56" s="62">
        <f>'11.F&amp;V Crop Production details'!D67</f>
        <v>0</v>
      </c>
      <c r="E56" s="62">
        <f>'11.F&amp;V Crop Production details'!E67</f>
        <v>0</v>
      </c>
      <c r="F56" s="62">
        <f>'11.F&amp;V Crop Production details'!F67</f>
        <v>0</v>
      </c>
      <c r="G56" s="62">
        <f>'11.F&amp;V Crop Production details'!G67</f>
        <v>0</v>
      </c>
      <c r="H56" s="62">
        <f>'11.F&amp;V Crop Production details'!H67</f>
        <v>0</v>
      </c>
    </row>
    <row r="57" spans="1:8" hidden="1">
      <c r="A57" s="62" t="str">
        <f>'11.F&amp;V Crop Production details'!A68</f>
        <v>Custard Apple</v>
      </c>
      <c r="B57" s="62">
        <f>'11.F&amp;V Crop Production details'!B68</f>
        <v>0</v>
      </c>
      <c r="C57" s="62">
        <f>'11.F&amp;V Crop Production details'!C68</f>
        <v>0</v>
      </c>
      <c r="D57" s="62">
        <f>'11.F&amp;V Crop Production details'!D68</f>
        <v>0</v>
      </c>
      <c r="E57" s="62">
        <f>'11.F&amp;V Crop Production details'!E68</f>
        <v>0</v>
      </c>
      <c r="F57" s="62">
        <f>'11.F&amp;V Crop Production details'!F68</f>
        <v>0</v>
      </c>
      <c r="G57" s="62">
        <f>'11.F&amp;V Crop Production details'!G68</f>
        <v>0</v>
      </c>
      <c r="H57" s="62">
        <f>'11.F&amp;V Crop Production details'!H68</f>
        <v>0</v>
      </c>
    </row>
    <row r="58" spans="1:8" hidden="1">
      <c r="A58" s="62" t="str">
        <f>'11.F&amp;V Crop Production details'!A69</f>
        <v>Guava</v>
      </c>
      <c r="B58" s="62">
        <f>'11.F&amp;V Crop Production details'!B69</f>
        <v>0</v>
      </c>
      <c r="C58" s="62">
        <f>'11.F&amp;V Crop Production details'!C69</f>
        <v>0</v>
      </c>
      <c r="D58" s="62">
        <f>'11.F&amp;V Crop Production details'!D69</f>
        <v>0</v>
      </c>
      <c r="E58" s="62">
        <f>'11.F&amp;V Crop Production details'!E69</f>
        <v>0</v>
      </c>
      <c r="F58" s="62">
        <f>'11.F&amp;V Crop Production details'!F69</f>
        <v>0</v>
      </c>
      <c r="G58" s="62">
        <f>'11.F&amp;V Crop Production details'!G69</f>
        <v>0</v>
      </c>
      <c r="H58" s="62">
        <f>'11.F&amp;V Crop Production details'!H69</f>
        <v>0</v>
      </c>
    </row>
    <row r="59" spans="1:8" hidden="1">
      <c r="A59" s="62" t="str">
        <f>'11.F&amp;V Crop Production details'!A70</f>
        <v>Citrus</v>
      </c>
      <c r="B59" s="62">
        <f>'11.F&amp;V Crop Production details'!B70</f>
        <v>0</v>
      </c>
      <c r="C59" s="62">
        <f>'11.F&amp;V Crop Production details'!C70</f>
        <v>0</v>
      </c>
      <c r="D59" s="62">
        <f>'11.F&amp;V Crop Production details'!D70</f>
        <v>0</v>
      </c>
      <c r="E59" s="62">
        <f>'11.F&amp;V Crop Production details'!E70</f>
        <v>0</v>
      </c>
      <c r="F59" s="62">
        <f>'11.F&amp;V Crop Production details'!F70</f>
        <v>0</v>
      </c>
      <c r="G59" s="62">
        <f>'11.F&amp;V Crop Production details'!G70</f>
        <v>0</v>
      </c>
      <c r="H59" s="62">
        <f>'11.F&amp;V Crop Production details'!H70</f>
        <v>0</v>
      </c>
    </row>
    <row r="60" spans="1:8">
      <c r="A60" s="62"/>
      <c r="B60" s="62"/>
      <c r="C60" s="62"/>
      <c r="D60" s="62"/>
      <c r="E60" s="62"/>
      <c r="F60" s="62"/>
      <c r="G60" s="62"/>
      <c r="H60" s="62"/>
    </row>
    <row r="61" spans="1:8">
      <c r="A61" s="16" t="s">
        <v>567</v>
      </c>
      <c r="B61" s="62">
        <f t="shared" ref="B61:H61" si="2">SUM(B35:B59)</f>
        <v>0</v>
      </c>
      <c r="C61" s="62">
        <f t="shared" si="2"/>
        <v>0</v>
      </c>
      <c r="D61" s="62">
        <f t="shared" si="2"/>
        <v>0</v>
      </c>
      <c r="E61" s="62">
        <f t="shared" si="2"/>
        <v>0</v>
      </c>
      <c r="F61" s="62">
        <f t="shared" si="2"/>
        <v>0</v>
      </c>
      <c r="G61" s="62">
        <f t="shared" si="2"/>
        <v>0</v>
      </c>
      <c r="H61" s="62">
        <f t="shared" si="2"/>
        <v>0</v>
      </c>
    </row>
    <row r="62" spans="1:8">
      <c r="A62" s="63" t="s">
        <v>568</v>
      </c>
      <c r="B62" s="64">
        <v>0</v>
      </c>
      <c r="C62" s="64">
        <v>0</v>
      </c>
      <c r="D62" s="64">
        <v>0</v>
      </c>
      <c r="E62" s="64">
        <v>0</v>
      </c>
      <c r="F62" s="64">
        <v>0</v>
      </c>
      <c r="G62" s="64">
        <v>0</v>
      </c>
      <c r="H62" s="64">
        <v>0</v>
      </c>
    </row>
    <row r="63" spans="1:8">
      <c r="A63" s="63" t="s">
        <v>569</v>
      </c>
      <c r="B63" s="65">
        <f t="shared" ref="B63:H63" si="3">1-B62</f>
        <v>1</v>
      </c>
      <c r="C63" s="65">
        <f t="shared" si="3"/>
        <v>1</v>
      </c>
      <c r="D63" s="65">
        <f t="shared" si="3"/>
        <v>1</v>
      </c>
      <c r="E63" s="65">
        <f t="shared" si="3"/>
        <v>1</v>
      </c>
      <c r="F63" s="65">
        <f t="shared" si="3"/>
        <v>1</v>
      </c>
      <c r="G63" s="65">
        <f t="shared" si="3"/>
        <v>1</v>
      </c>
      <c r="H63" s="65">
        <f t="shared" si="3"/>
        <v>1</v>
      </c>
    </row>
    <row r="64" spans="1:8">
      <c r="A64" s="63"/>
      <c r="B64" s="65"/>
      <c r="C64" s="65"/>
      <c r="D64" s="65"/>
      <c r="E64" s="65"/>
      <c r="F64" s="65"/>
      <c r="G64" s="65"/>
      <c r="H64" s="65"/>
    </row>
    <row r="65" spans="1:8">
      <c r="A65" s="63" t="s">
        <v>570</v>
      </c>
      <c r="B65" s="66">
        <f t="shared" ref="B65:H65" si="4">B33*B62</f>
        <v>0</v>
      </c>
      <c r="C65" s="66">
        <f t="shared" si="4"/>
        <v>0</v>
      </c>
      <c r="D65" s="66">
        <f t="shared" si="4"/>
        <v>0</v>
      </c>
      <c r="E65" s="66">
        <f t="shared" si="4"/>
        <v>0</v>
      </c>
      <c r="F65" s="66">
        <f t="shared" si="4"/>
        <v>0</v>
      </c>
      <c r="G65" s="66">
        <f t="shared" si="4"/>
        <v>0</v>
      </c>
      <c r="H65" s="66">
        <f t="shared" si="4"/>
        <v>0</v>
      </c>
    </row>
    <row r="66" spans="1:8">
      <c r="A66" s="16"/>
      <c r="B66" s="62"/>
      <c r="C66" s="62"/>
      <c r="D66" s="62"/>
      <c r="E66" s="62"/>
      <c r="F66" s="62"/>
      <c r="G66" s="62"/>
      <c r="H66" s="62"/>
    </row>
    <row r="67" spans="1:8">
      <c r="A67" s="16" t="s">
        <v>571</v>
      </c>
      <c r="B67" s="62"/>
      <c r="C67" s="62"/>
      <c r="D67" s="62"/>
      <c r="E67" s="62"/>
      <c r="F67" s="62"/>
      <c r="G67" s="62"/>
      <c r="H67" s="62"/>
    </row>
    <row r="68" spans="1:8" hidden="1">
      <c r="A68" s="9" t="str">
        <f t="shared" ref="A68:A89" si="5">A11</f>
        <v>Soybean</v>
      </c>
      <c r="B68" s="67">
        <f t="shared" ref="B68:B89" si="6">B11*$B$63</f>
        <v>0</v>
      </c>
      <c r="C68" s="67">
        <f t="shared" ref="C68:C83" si="7">C11*$C$63</f>
        <v>0</v>
      </c>
      <c r="D68" s="67">
        <f t="shared" ref="D68:D83" si="8">D11*$D$63</f>
        <v>0</v>
      </c>
      <c r="E68" s="67">
        <f t="shared" ref="E68:E83" si="9">E11*$E$63</f>
        <v>0</v>
      </c>
      <c r="F68" s="67">
        <f t="shared" ref="F68:F83" si="10">F11*$F$63</f>
        <v>0</v>
      </c>
      <c r="G68" s="67">
        <f t="shared" ref="G68:G83" si="11">G11*$G$63</f>
        <v>0</v>
      </c>
      <c r="H68" s="67">
        <f t="shared" ref="H68:H83" si="12">H11*$H$63</f>
        <v>0</v>
      </c>
    </row>
    <row r="69" spans="1:8" hidden="1">
      <c r="A69" s="9" t="str">
        <f t="shared" si="5"/>
        <v>Red Gram/Tur</v>
      </c>
      <c r="B69" s="67">
        <f t="shared" si="6"/>
        <v>0</v>
      </c>
      <c r="C69" s="67">
        <f t="shared" si="7"/>
        <v>0</v>
      </c>
      <c r="D69" s="67">
        <f t="shared" si="8"/>
        <v>0</v>
      </c>
      <c r="E69" s="67">
        <f t="shared" si="9"/>
        <v>0</v>
      </c>
      <c r="F69" s="67">
        <f t="shared" si="10"/>
        <v>0</v>
      </c>
      <c r="G69" s="67">
        <f t="shared" si="11"/>
        <v>0</v>
      </c>
      <c r="H69" s="67">
        <f t="shared" si="12"/>
        <v>0</v>
      </c>
    </row>
    <row r="70" spans="1:8" hidden="1">
      <c r="A70" s="9" t="str">
        <f t="shared" si="5"/>
        <v>Paddy/Rice</v>
      </c>
      <c r="B70" s="67">
        <f t="shared" si="6"/>
        <v>0</v>
      </c>
      <c r="C70" s="67">
        <f t="shared" si="7"/>
        <v>0</v>
      </c>
      <c r="D70" s="67">
        <f t="shared" si="8"/>
        <v>0</v>
      </c>
      <c r="E70" s="67">
        <f t="shared" si="9"/>
        <v>0</v>
      </c>
      <c r="F70" s="67">
        <f t="shared" si="10"/>
        <v>0</v>
      </c>
      <c r="G70" s="67">
        <f t="shared" si="11"/>
        <v>0</v>
      </c>
      <c r="H70" s="67">
        <f t="shared" si="12"/>
        <v>0</v>
      </c>
    </row>
    <row r="71" spans="1:8" hidden="1">
      <c r="A71" s="9" t="str">
        <f t="shared" si="5"/>
        <v>Green Gram/ Moong</v>
      </c>
      <c r="B71" s="67">
        <f t="shared" si="6"/>
        <v>0</v>
      </c>
      <c r="C71" s="67">
        <f t="shared" si="7"/>
        <v>0</v>
      </c>
      <c r="D71" s="67">
        <f t="shared" si="8"/>
        <v>0</v>
      </c>
      <c r="E71" s="67">
        <f t="shared" si="9"/>
        <v>0</v>
      </c>
      <c r="F71" s="67">
        <f t="shared" si="10"/>
        <v>0</v>
      </c>
      <c r="G71" s="67">
        <f t="shared" si="11"/>
        <v>0</v>
      </c>
      <c r="H71" s="67">
        <f t="shared" si="12"/>
        <v>0</v>
      </c>
    </row>
    <row r="72" spans="1:8" hidden="1">
      <c r="A72" s="9" t="str">
        <f t="shared" si="5"/>
        <v>Maize</v>
      </c>
      <c r="B72" s="67">
        <f t="shared" si="6"/>
        <v>0</v>
      </c>
      <c r="C72" s="67">
        <f t="shared" si="7"/>
        <v>0</v>
      </c>
      <c r="D72" s="67">
        <f t="shared" si="8"/>
        <v>0</v>
      </c>
      <c r="E72" s="67">
        <f t="shared" si="9"/>
        <v>0</v>
      </c>
      <c r="F72" s="67">
        <f t="shared" si="10"/>
        <v>0</v>
      </c>
      <c r="G72" s="67">
        <f t="shared" si="11"/>
        <v>0</v>
      </c>
      <c r="H72" s="67">
        <f t="shared" si="12"/>
        <v>0</v>
      </c>
    </row>
    <row r="73" spans="1:8" hidden="1">
      <c r="A73" s="9" t="str">
        <f t="shared" si="5"/>
        <v>Black Gram/Udid</v>
      </c>
      <c r="B73" s="67">
        <f t="shared" si="6"/>
        <v>0</v>
      </c>
      <c r="C73" s="67">
        <f t="shared" si="7"/>
        <v>0</v>
      </c>
      <c r="D73" s="67">
        <f t="shared" si="8"/>
        <v>0</v>
      </c>
      <c r="E73" s="67">
        <f t="shared" si="9"/>
        <v>0</v>
      </c>
      <c r="F73" s="67">
        <f t="shared" si="10"/>
        <v>0</v>
      </c>
      <c r="G73" s="67">
        <f t="shared" si="11"/>
        <v>0</v>
      </c>
      <c r="H73" s="67">
        <f t="shared" si="12"/>
        <v>0</v>
      </c>
    </row>
    <row r="74" spans="1:8" hidden="1">
      <c r="A74" s="9" t="str">
        <f t="shared" si="5"/>
        <v>Bajra</v>
      </c>
      <c r="B74" s="67">
        <f t="shared" si="6"/>
        <v>0</v>
      </c>
      <c r="C74" s="67">
        <f t="shared" si="7"/>
        <v>0</v>
      </c>
      <c r="D74" s="67">
        <f t="shared" si="8"/>
        <v>0</v>
      </c>
      <c r="E74" s="67">
        <f t="shared" si="9"/>
        <v>0</v>
      </c>
      <c r="F74" s="67">
        <f t="shared" si="10"/>
        <v>0</v>
      </c>
      <c r="G74" s="67">
        <f t="shared" si="11"/>
        <v>0</v>
      </c>
      <c r="H74" s="67">
        <f t="shared" si="12"/>
        <v>0</v>
      </c>
    </row>
    <row r="75" spans="1:8" hidden="1">
      <c r="A75" s="9" t="str">
        <f t="shared" si="5"/>
        <v>Jawar</v>
      </c>
      <c r="B75" s="67">
        <f t="shared" si="6"/>
        <v>0</v>
      </c>
      <c r="C75" s="67">
        <f t="shared" si="7"/>
        <v>0</v>
      </c>
      <c r="D75" s="67">
        <f t="shared" si="8"/>
        <v>0</v>
      </c>
      <c r="E75" s="67">
        <f t="shared" si="9"/>
        <v>0</v>
      </c>
      <c r="F75" s="67">
        <f t="shared" si="10"/>
        <v>0</v>
      </c>
      <c r="G75" s="67">
        <f t="shared" si="11"/>
        <v>0</v>
      </c>
      <c r="H75" s="67">
        <f t="shared" si="12"/>
        <v>0</v>
      </c>
    </row>
    <row r="76" spans="1:8" hidden="1">
      <c r="A76" s="9" t="str">
        <f t="shared" si="5"/>
        <v>Sunflower</v>
      </c>
      <c r="B76" s="67">
        <f t="shared" si="6"/>
        <v>0</v>
      </c>
      <c r="C76" s="67">
        <f t="shared" si="7"/>
        <v>0</v>
      </c>
      <c r="D76" s="67">
        <f t="shared" si="8"/>
        <v>0</v>
      </c>
      <c r="E76" s="67">
        <f t="shared" si="9"/>
        <v>0</v>
      </c>
      <c r="F76" s="67">
        <f t="shared" si="10"/>
        <v>0</v>
      </c>
      <c r="G76" s="67">
        <f t="shared" si="11"/>
        <v>0</v>
      </c>
      <c r="H76" s="67">
        <f t="shared" si="12"/>
        <v>0</v>
      </c>
    </row>
    <row r="77" spans="1:8" hidden="1">
      <c r="A77" s="9" t="str">
        <f t="shared" si="5"/>
        <v>Wheat</v>
      </c>
      <c r="B77" s="67">
        <f t="shared" si="6"/>
        <v>0</v>
      </c>
      <c r="C77" s="67">
        <f t="shared" si="7"/>
        <v>0</v>
      </c>
      <c r="D77" s="67">
        <f t="shared" si="8"/>
        <v>0</v>
      </c>
      <c r="E77" s="67">
        <f t="shared" si="9"/>
        <v>0</v>
      </c>
      <c r="F77" s="67">
        <f t="shared" si="10"/>
        <v>0</v>
      </c>
      <c r="G77" s="67">
        <f t="shared" si="11"/>
        <v>0</v>
      </c>
      <c r="H77" s="67">
        <f t="shared" si="12"/>
        <v>0</v>
      </c>
    </row>
    <row r="78" spans="1:8" hidden="1">
      <c r="A78" s="9" t="str">
        <f t="shared" si="5"/>
        <v>Bengal Gram/Channa</v>
      </c>
      <c r="B78" s="67">
        <f t="shared" si="6"/>
        <v>0</v>
      </c>
      <c r="C78" s="67">
        <f t="shared" si="7"/>
        <v>0</v>
      </c>
      <c r="D78" s="67">
        <f t="shared" si="8"/>
        <v>0</v>
      </c>
      <c r="E78" s="67">
        <f t="shared" si="9"/>
        <v>0</v>
      </c>
      <c r="F78" s="67">
        <f t="shared" si="10"/>
        <v>0</v>
      </c>
      <c r="G78" s="67">
        <f t="shared" si="11"/>
        <v>0</v>
      </c>
      <c r="H78" s="67">
        <f t="shared" si="12"/>
        <v>0</v>
      </c>
    </row>
    <row r="79" spans="1:8" hidden="1">
      <c r="A79" s="9" t="str">
        <f t="shared" si="5"/>
        <v>Jawar</v>
      </c>
      <c r="B79" s="67">
        <f t="shared" si="6"/>
        <v>0</v>
      </c>
      <c r="C79" s="67">
        <f t="shared" si="7"/>
        <v>0</v>
      </c>
      <c r="D79" s="67">
        <f t="shared" si="8"/>
        <v>0</v>
      </c>
      <c r="E79" s="67">
        <f t="shared" si="9"/>
        <v>0</v>
      </c>
      <c r="F79" s="67">
        <f t="shared" si="10"/>
        <v>0</v>
      </c>
      <c r="G79" s="67">
        <f t="shared" si="11"/>
        <v>0</v>
      </c>
      <c r="H79" s="67">
        <f t="shared" si="12"/>
        <v>0</v>
      </c>
    </row>
    <row r="80" spans="1:8" hidden="1">
      <c r="A80" s="9" t="str">
        <f t="shared" si="5"/>
        <v>Maize</v>
      </c>
      <c r="B80" s="67">
        <f t="shared" si="6"/>
        <v>0</v>
      </c>
      <c r="C80" s="67">
        <f t="shared" si="7"/>
        <v>0</v>
      </c>
      <c r="D80" s="67">
        <f t="shared" si="8"/>
        <v>0</v>
      </c>
      <c r="E80" s="67">
        <f t="shared" si="9"/>
        <v>0</v>
      </c>
      <c r="F80" s="67">
        <f t="shared" si="10"/>
        <v>0</v>
      </c>
      <c r="G80" s="67">
        <f t="shared" si="11"/>
        <v>0</v>
      </c>
      <c r="H80" s="67">
        <f t="shared" si="12"/>
        <v>0</v>
      </c>
    </row>
    <row r="81" spans="1:12" hidden="1">
      <c r="A81" s="9" t="str">
        <f t="shared" si="5"/>
        <v>Safflower</v>
      </c>
      <c r="B81" s="67">
        <f t="shared" si="6"/>
        <v>0</v>
      </c>
      <c r="C81" s="67">
        <f t="shared" si="7"/>
        <v>0</v>
      </c>
      <c r="D81" s="67">
        <f t="shared" si="8"/>
        <v>0</v>
      </c>
      <c r="E81" s="67">
        <f t="shared" si="9"/>
        <v>0</v>
      </c>
      <c r="F81" s="67">
        <f t="shared" si="10"/>
        <v>0</v>
      </c>
      <c r="G81" s="67">
        <f t="shared" si="11"/>
        <v>0</v>
      </c>
      <c r="H81" s="67">
        <f t="shared" si="12"/>
        <v>0</v>
      </c>
    </row>
    <row r="82" spans="1:12" hidden="1">
      <c r="A82" s="9">
        <f t="shared" si="5"/>
        <v>0</v>
      </c>
      <c r="B82" s="67">
        <f t="shared" si="6"/>
        <v>0</v>
      </c>
      <c r="C82" s="67">
        <f t="shared" si="7"/>
        <v>0</v>
      </c>
      <c r="D82" s="67">
        <f t="shared" si="8"/>
        <v>0</v>
      </c>
      <c r="E82" s="67">
        <f t="shared" si="9"/>
        <v>0</v>
      </c>
      <c r="F82" s="67">
        <f t="shared" si="10"/>
        <v>0</v>
      </c>
      <c r="G82" s="67">
        <f t="shared" si="11"/>
        <v>0</v>
      </c>
      <c r="H82" s="67">
        <f t="shared" si="12"/>
        <v>0</v>
      </c>
    </row>
    <row r="83" spans="1:12" hidden="1">
      <c r="A83" s="9">
        <f t="shared" si="5"/>
        <v>0</v>
      </c>
      <c r="B83" s="67">
        <f t="shared" si="6"/>
        <v>0</v>
      </c>
      <c r="C83" s="67">
        <f t="shared" si="7"/>
        <v>0</v>
      </c>
      <c r="D83" s="67">
        <f t="shared" si="8"/>
        <v>0</v>
      </c>
      <c r="E83" s="67">
        <f t="shared" si="9"/>
        <v>0</v>
      </c>
      <c r="F83" s="67">
        <f t="shared" si="10"/>
        <v>0</v>
      </c>
      <c r="G83" s="67">
        <f t="shared" si="11"/>
        <v>0</v>
      </c>
      <c r="H83" s="67">
        <f t="shared" si="12"/>
        <v>0</v>
      </c>
    </row>
    <row r="84" spans="1:12" hidden="1">
      <c r="A84" s="9">
        <f t="shared" si="5"/>
        <v>0</v>
      </c>
      <c r="B84" s="67">
        <f t="shared" si="6"/>
        <v>0</v>
      </c>
      <c r="C84" s="67">
        <f t="shared" ref="C84:H89" si="13">C27*$B$63</f>
        <v>0</v>
      </c>
      <c r="D84" s="67">
        <f t="shared" si="13"/>
        <v>0</v>
      </c>
      <c r="E84" s="67">
        <f t="shared" si="13"/>
        <v>0</v>
      </c>
      <c r="F84" s="67">
        <f t="shared" si="13"/>
        <v>0</v>
      </c>
      <c r="G84" s="67">
        <f t="shared" si="13"/>
        <v>0</v>
      </c>
      <c r="H84" s="67">
        <f t="shared" si="13"/>
        <v>0</v>
      </c>
    </row>
    <row r="85" spans="1:12" hidden="1">
      <c r="A85" s="9" t="str">
        <f t="shared" si="5"/>
        <v>Groundnut</v>
      </c>
      <c r="B85" s="67">
        <f t="shared" si="6"/>
        <v>0</v>
      </c>
      <c r="C85" s="67">
        <f t="shared" si="13"/>
        <v>0</v>
      </c>
      <c r="D85" s="67">
        <f t="shared" si="13"/>
        <v>0</v>
      </c>
      <c r="E85" s="67">
        <f t="shared" si="13"/>
        <v>0</v>
      </c>
      <c r="F85" s="67">
        <f t="shared" si="13"/>
        <v>0</v>
      </c>
      <c r="G85" s="67">
        <f t="shared" si="13"/>
        <v>0</v>
      </c>
      <c r="H85" s="67">
        <f t="shared" si="13"/>
        <v>0</v>
      </c>
    </row>
    <row r="86" spans="1:12" hidden="1">
      <c r="A86" s="9">
        <f t="shared" si="5"/>
        <v>0</v>
      </c>
      <c r="B86" s="67">
        <f t="shared" si="6"/>
        <v>0</v>
      </c>
      <c r="C86" s="67">
        <f t="shared" si="13"/>
        <v>0</v>
      </c>
      <c r="D86" s="67">
        <f t="shared" si="13"/>
        <v>0</v>
      </c>
      <c r="E86" s="67">
        <f t="shared" si="13"/>
        <v>0</v>
      </c>
      <c r="F86" s="67">
        <f t="shared" si="13"/>
        <v>0</v>
      </c>
      <c r="G86" s="67">
        <f t="shared" si="13"/>
        <v>0</v>
      </c>
      <c r="H86" s="67">
        <f t="shared" si="13"/>
        <v>0</v>
      </c>
    </row>
    <row r="87" spans="1:12" hidden="1">
      <c r="A87" s="9">
        <f t="shared" si="5"/>
        <v>0</v>
      </c>
      <c r="B87" s="67">
        <f t="shared" si="6"/>
        <v>0</v>
      </c>
      <c r="C87" s="67">
        <f t="shared" si="13"/>
        <v>0</v>
      </c>
      <c r="D87" s="67">
        <f t="shared" si="13"/>
        <v>0</v>
      </c>
      <c r="E87" s="67">
        <f t="shared" si="13"/>
        <v>0</v>
      </c>
      <c r="F87" s="67">
        <f t="shared" si="13"/>
        <v>0</v>
      </c>
      <c r="G87" s="67">
        <f t="shared" si="13"/>
        <v>0</v>
      </c>
      <c r="H87" s="67">
        <f t="shared" si="13"/>
        <v>0</v>
      </c>
    </row>
    <row r="88" spans="1:12" hidden="1">
      <c r="A88" s="9">
        <f t="shared" si="5"/>
        <v>0</v>
      </c>
      <c r="B88" s="67">
        <f t="shared" si="6"/>
        <v>0</v>
      </c>
      <c r="C88" s="67">
        <f t="shared" si="13"/>
        <v>0</v>
      </c>
      <c r="D88" s="67">
        <f t="shared" si="13"/>
        <v>0</v>
      </c>
      <c r="E88" s="67">
        <f t="shared" si="13"/>
        <v>0</v>
      </c>
      <c r="F88" s="67">
        <f t="shared" si="13"/>
        <v>0</v>
      </c>
      <c r="G88" s="67">
        <f t="shared" si="13"/>
        <v>0</v>
      </c>
      <c r="H88" s="67">
        <f t="shared" si="13"/>
        <v>0</v>
      </c>
    </row>
    <row r="89" spans="1:12" hidden="1">
      <c r="A89" s="9">
        <f t="shared" si="5"/>
        <v>0</v>
      </c>
      <c r="B89" s="67">
        <f t="shared" si="6"/>
        <v>0</v>
      </c>
      <c r="C89" s="67">
        <f t="shared" si="13"/>
        <v>0</v>
      </c>
      <c r="D89" s="67">
        <f t="shared" si="13"/>
        <v>0</v>
      </c>
      <c r="E89" s="67">
        <f t="shared" si="13"/>
        <v>0</v>
      </c>
      <c r="F89" s="67">
        <f t="shared" si="13"/>
        <v>0</v>
      </c>
      <c r="G89" s="67">
        <f t="shared" si="13"/>
        <v>0</v>
      </c>
      <c r="H89" s="67">
        <f t="shared" si="13"/>
        <v>0</v>
      </c>
    </row>
    <row r="90" spans="1:12" hidden="1">
      <c r="A90" s="9"/>
      <c r="B90" s="67"/>
      <c r="C90" s="67"/>
      <c r="D90" s="67"/>
      <c r="E90" s="67"/>
      <c r="F90" s="67"/>
      <c r="G90" s="67"/>
      <c r="H90" s="67"/>
      <c r="J90" s="3"/>
      <c r="K90" s="3"/>
      <c r="L90" s="3"/>
    </row>
    <row r="91" spans="1:12" hidden="1">
      <c r="A91" s="9" t="str">
        <f t="shared" ref="A91:A109" si="14">A34</f>
        <v>Fruit  &amp; Vegetables Crop Production Details</v>
      </c>
      <c r="B91" s="67"/>
      <c r="C91" s="67"/>
      <c r="D91" s="67"/>
      <c r="E91" s="67"/>
      <c r="F91" s="67"/>
      <c r="G91" s="67"/>
      <c r="H91" s="67"/>
      <c r="J91" s="3"/>
      <c r="K91" s="3"/>
      <c r="L91" s="3"/>
    </row>
    <row r="92" spans="1:12" hidden="1">
      <c r="A92" s="9" t="str">
        <f t="shared" si="14"/>
        <v>Onion</v>
      </c>
      <c r="B92" s="67">
        <f t="shared" ref="B92:H101" si="15">B35</f>
        <v>0</v>
      </c>
      <c r="C92" s="67">
        <f t="shared" si="15"/>
        <v>0</v>
      </c>
      <c r="D92" s="67">
        <f t="shared" si="15"/>
        <v>0</v>
      </c>
      <c r="E92" s="67">
        <f t="shared" si="15"/>
        <v>0</v>
      </c>
      <c r="F92" s="67">
        <f t="shared" si="15"/>
        <v>0</v>
      </c>
      <c r="G92" s="67">
        <f t="shared" si="15"/>
        <v>0</v>
      </c>
      <c r="H92" s="67">
        <f t="shared" si="15"/>
        <v>0</v>
      </c>
      <c r="J92" s="3"/>
      <c r="K92" s="3"/>
      <c r="L92" s="3"/>
    </row>
    <row r="93" spans="1:12" hidden="1">
      <c r="A93" s="9" t="str">
        <f t="shared" si="14"/>
        <v>Tomato</v>
      </c>
      <c r="B93" s="67">
        <f t="shared" si="15"/>
        <v>0</v>
      </c>
      <c r="C93" s="67">
        <f t="shared" si="15"/>
        <v>0</v>
      </c>
      <c r="D93" s="67">
        <f t="shared" si="15"/>
        <v>0</v>
      </c>
      <c r="E93" s="67">
        <f t="shared" si="15"/>
        <v>0</v>
      </c>
      <c r="F93" s="67">
        <f t="shared" si="15"/>
        <v>0</v>
      </c>
      <c r="G93" s="67">
        <f t="shared" si="15"/>
        <v>0</v>
      </c>
      <c r="H93" s="67">
        <f t="shared" si="15"/>
        <v>0</v>
      </c>
      <c r="J93" s="3"/>
      <c r="K93" s="3"/>
      <c r="L93" s="3"/>
    </row>
    <row r="94" spans="1:12" hidden="1">
      <c r="A94" s="9" t="str">
        <f t="shared" si="14"/>
        <v>Okra</v>
      </c>
      <c r="B94" s="67">
        <f t="shared" si="15"/>
        <v>0</v>
      </c>
      <c r="C94" s="67">
        <f t="shared" si="15"/>
        <v>0</v>
      </c>
      <c r="D94" s="67">
        <f t="shared" si="15"/>
        <v>0</v>
      </c>
      <c r="E94" s="67">
        <f t="shared" si="15"/>
        <v>0</v>
      </c>
      <c r="F94" s="67">
        <f t="shared" si="15"/>
        <v>0</v>
      </c>
      <c r="G94" s="67">
        <f t="shared" si="15"/>
        <v>0</v>
      </c>
      <c r="H94" s="67">
        <f t="shared" si="15"/>
        <v>0</v>
      </c>
      <c r="J94" s="3"/>
      <c r="K94" s="3"/>
      <c r="L94" s="3"/>
    </row>
    <row r="95" spans="1:12" hidden="1">
      <c r="A95" s="9" t="str">
        <f t="shared" si="14"/>
        <v>Chilli</v>
      </c>
      <c r="B95" s="67">
        <f t="shared" si="15"/>
        <v>0</v>
      </c>
      <c r="C95" s="67">
        <f t="shared" si="15"/>
        <v>0</v>
      </c>
      <c r="D95" s="67">
        <f t="shared" si="15"/>
        <v>0</v>
      </c>
      <c r="E95" s="67">
        <f t="shared" si="15"/>
        <v>0</v>
      </c>
      <c r="F95" s="67">
        <f t="shared" si="15"/>
        <v>0</v>
      </c>
      <c r="G95" s="67">
        <f t="shared" si="15"/>
        <v>0</v>
      </c>
      <c r="H95" s="67">
        <f t="shared" si="15"/>
        <v>0</v>
      </c>
      <c r="J95" s="3"/>
      <c r="K95" s="3"/>
      <c r="L95" s="3"/>
    </row>
    <row r="96" spans="1:12" hidden="1">
      <c r="A96" s="9" t="str">
        <f t="shared" si="14"/>
        <v>Potato</v>
      </c>
      <c r="B96" s="67">
        <f t="shared" si="15"/>
        <v>0</v>
      </c>
      <c r="C96" s="67">
        <f t="shared" si="15"/>
        <v>0</v>
      </c>
      <c r="D96" s="67">
        <f t="shared" si="15"/>
        <v>0</v>
      </c>
      <c r="E96" s="67">
        <f t="shared" si="15"/>
        <v>0</v>
      </c>
      <c r="F96" s="67">
        <f t="shared" si="15"/>
        <v>0</v>
      </c>
      <c r="G96" s="67">
        <f t="shared" si="15"/>
        <v>0</v>
      </c>
      <c r="H96" s="67">
        <f t="shared" si="15"/>
        <v>0</v>
      </c>
      <c r="J96" s="3"/>
      <c r="K96" s="3"/>
      <c r="L96" s="3"/>
    </row>
    <row r="97" spans="1:12" hidden="1">
      <c r="A97" s="9">
        <f t="shared" si="14"/>
        <v>0</v>
      </c>
      <c r="B97" s="67">
        <f t="shared" si="15"/>
        <v>0</v>
      </c>
      <c r="C97" s="67">
        <f t="shared" si="15"/>
        <v>0</v>
      </c>
      <c r="D97" s="67">
        <f t="shared" si="15"/>
        <v>0</v>
      </c>
      <c r="E97" s="67">
        <f t="shared" si="15"/>
        <v>0</v>
      </c>
      <c r="F97" s="67">
        <f t="shared" si="15"/>
        <v>0</v>
      </c>
      <c r="G97" s="67">
        <f t="shared" si="15"/>
        <v>0</v>
      </c>
      <c r="H97" s="67">
        <f t="shared" si="15"/>
        <v>0</v>
      </c>
      <c r="J97" s="3"/>
      <c r="K97" s="3"/>
      <c r="L97" s="3"/>
    </row>
    <row r="98" spans="1:12" hidden="1">
      <c r="A98" s="9">
        <f t="shared" si="14"/>
        <v>0</v>
      </c>
      <c r="B98" s="67">
        <f t="shared" si="15"/>
        <v>0</v>
      </c>
      <c r="C98" s="67">
        <f t="shared" si="15"/>
        <v>0</v>
      </c>
      <c r="D98" s="67">
        <f t="shared" si="15"/>
        <v>0</v>
      </c>
      <c r="E98" s="67">
        <f t="shared" si="15"/>
        <v>0</v>
      </c>
      <c r="F98" s="67">
        <f t="shared" si="15"/>
        <v>0</v>
      </c>
      <c r="G98" s="67">
        <f t="shared" si="15"/>
        <v>0</v>
      </c>
      <c r="H98" s="67">
        <f t="shared" si="15"/>
        <v>0</v>
      </c>
      <c r="J98" s="3"/>
      <c r="K98" s="3"/>
      <c r="L98" s="3"/>
    </row>
    <row r="99" spans="1:12" hidden="1">
      <c r="A99" s="9">
        <f t="shared" si="14"/>
        <v>0</v>
      </c>
      <c r="B99" s="67">
        <f t="shared" si="15"/>
        <v>0</v>
      </c>
      <c r="C99" s="67">
        <f t="shared" si="15"/>
        <v>0</v>
      </c>
      <c r="D99" s="67">
        <f t="shared" si="15"/>
        <v>0</v>
      </c>
      <c r="E99" s="67">
        <f t="shared" si="15"/>
        <v>0</v>
      </c>
      <c r="F99" s="67">
        <f t="shared" si="15"/>
        <v>0</v>
      </c>
      <c r="G99" s="67">
        <f t="shared" si="15"/>
        <v>0</v>
      </c>
      <c r="H99" s="67">
        <f t="shared" si="15"/>
        <v>0</v>
      </c>
      <c r="J99" s="3"/>
      <c r="K99" s="3"/>
      <c r="L99" s="3"/>
    </row>
    <row r="100" spans="1:12" hidden="1">
      <c r="A100" s="9">
        <f t="shared" si="14"/>
        <v>0</v>
      </c>
      <c r="B100" s="67">
        <f t="shared" si="15"/>
        <v>0</v>
      </c>
      <c r="C100" s="67">
        <f t="shared" si="15"/>
        <v>0</v>
      </c>
      <c r="D100" s="67">
        <f t="shared" si="15"/>
        <v>0</v>
      </c>
      <c r="E100" s="67">
        <f t="shared" si="15"/>
        <v>0</v>
      </c>
      <c r="F100" s="67">
        <f t="shared" si="15"/>
        <v>0</v>
      </c>
      <c r="G100" s="67">
        <f t="shared" si="15"/>
        <v>0</v>
      </c>
      <c r="H100" s="67">
        <f t="shared" si="15"/>
        <v>0</v>
      </c>
      <c r="J100" s="3"/>
      <c r="K100" s="3"/>
      <c r="L100" s="3"/>
    </row>
    <row r="101" spans="1:12" hidden="1">
      <c r="A101" s="9" t="str">
        <f t="shared" si="14"/>
        <v>Onion</v>
      </c>
      <c r="B101" s="67">
        <f t="shared" si="15"/>
        <v>0</v>
      </c>
      <c r="C101" s="67">
        <f t="shared" si="15"/>
        <v>0</v>
      </c>
      <c r="D101" s="67">
        <f t="shared" si="15"/>
        <v>0</v>
      </c>
      <c r="E101" s="67">
        <f t="shared" si="15"/>
        <v>0</v>
      </c>
      <c r="F101" s="67">
        <f t="shared" si="15"/>
        <v>0</v>
      </c>
      <c r="G101" s="67">
        <f t="shared" si="15"/>
        <v>0</v>
      </c>
      <c r="H101" s="67">
        <f t="shared" si="15"/>
        <v>0</v>
      </c>
      <c r="J101" s="3"/>
      <c r="K101" s="3"/>
      <c r="L101" s="3"/>
    </row>
    <row r="102" spans="1:12" hidden="1">
      <c r="A102" s="9" t="str">
        <f t="shared" si="14"/>
        <v>Tomato</v>
      </c>
      <c r="B102" s="67">
        <f t="shared" ref="B102:H109" si="16">B45</f>
        <v>0</v>
      </c>
      <c r="C102" s="67">
        <f t="shared" si="16"/>
        <v>0</v>
      </c>
      <c r="D102" s="67">
        <f t="shared" si="16"/>
        <v>0</v>
      </c>
      <c r="E102" s="67">
        <f t="shared" si="16"/>
        <v>0</v>
      </c>
      <c r="F102" s="67">
        <f t="shared" si="16"/>
        <v>0</v>
      </c>
      <c r="G102" s="67">
        <f t="shared" si="16"/>
        <v>0</v>
      </c>
      <c r="H102" s="67">
        <f t="shared" si="16"/>
        <v>0</v>
      </c>
      <c r="J102" s="3"/>
      <c r="K102" s="3"/>
      <c r="L102" s="3"/>
    </row>
    <row r="103" spans="1:12" hidden="1">
      <c r="A103" s="9" t="str">
        <f t="shared" si="14"/>
        <v>Okra</v>
      </c>
      <c r="B103" s="67">
        <f t="shared" si="16"/>
        <v>0</v>
      </c>
      <c r="C103" s="67">
        <f t="shared" si="16"/>
        <v>0</v>
      </c>
      <c r="D103" s="67">
        <f t="shared" si="16"/>
        <v>0</v>
      </c>
      <c r="E103" s="67">
        <f t="shared" si="16"/>
        <v>0</v>
      </c>
      <c r="F103" s="67">
        <f t="shared" si="16"/>
        <v>0</v>
      </c>
      <c r="G103" s="67">
        <f t="shared" si="16"/>
        <v>0</v>
      </c>
      <c r="H103" s="67">
        <f t="shared" si="16"/>
        <v>0</v>
      </c>
      <c r="J103" s="3"/>
      <c r="K103" s="3"/>
      <c r="L103" s="3"/>
    </row>
    <row r="104" spans="1:12" hidden="1">
      <c r="A104" s="9" t="str">
        <f t="shared" si="14"/>
        <v>Chilli</v>
      </c>
      <c r="B104" s="67">
        <f t="shared" si="16"/>
        <v>0</v>
      </c>
      <c r="C104" s="67">
        <f t="shared" si="16"/>
        <v>0</v>
      </c>
      <c r="D104" s="67">
        <f t="shared" si="16"/>
        <v>0</v>
      </c>
      <c r="E104" s="67">
        <f t="shared" si="16"/>
        <v>0</v>
      </c>
      <c r="F104" s="67">
        <f t="shared" si="16"/>
        <v>0</v>
      </c>
      <c r="G104" s="67">
        <f t="shared" si="16"/>
        <v>0</v>
      </c>
      <c r="H104" s="67">
        <f t="shared" si="16"/>
        <v>0</v>
      </c>
      <c r="J104" s="3"/>
      <c r="K104" s="3"/>
      <c r="L104" s="3"/>
    </row>
    <row r="105" spans="1:12" hidden="1">
      <c r="A105" s="9" t="str">
        <f t="shared" si="14"/>
        <v>Brinjal</v>
      </c>
      <c r="B105" s="67">
        <f t="shared" si="16"/>
        <v>0</v>
      </c>
      <c r="C105" s="67">
        <f t="shared" si="16"/>
        <v>0</v>
      </c>
      <c r="D105" s="67">
        <f t="shared" si="16"/>
        <v>0</v>
      </c>
      <c r="E105" s="67">
        <f t="shared" si="16"/>
        <v>0</v>
      </c>
      <c r="F105" s="67">
        <f t="shared" si="16"/>
        <v>0</v>
      </c>
      <c r="G105" s="67">
        <f t="shared" si="16"/>
        <v>0</v>
      </c>
      <c r="H105" s="67">
        <f t="shared" si="16"/>
        <v>0</v>
      </c>
      <c r="J105" s="3"/>
      <c r="K105" s="3"/>
      <c r="L105" s="3"/>
    </row>
    <row r="106" spans="1:12" hidden="1">
      <c r="A106" s="9" t="str">
        <f t="shared" si="14"/>
        <v>Cashew</v>
      </c>
      <c r="B106" s="67">
        <f t="shared" si="16"/>
        <v>0</v>
      </c>
      <c r="C106" s="67">
        <f t="shared" si="16"/>
        <v>0</v>
      </c>
      <c r="D106" s="67">
        <f t="shared" si="16"/>
        <v>0</v>
      </c>
      <c r="E106" s="67">
        <f t="shared" si="16"/>
        <v>0</v>
      </c>
      <c r="F106" s="67">
        <f t="shared" si="16"/>
        <v>0</v>
      </c>
      <c r="G106" s="67">
        <f t="shared" si="16"/>
        <v>0</v>
      </c>
      <c r="H106" s="67">
        <f t="shared" si="16"/>
        <v>0</v>
      </c>
      <c r="J106" s="3"/>
      <c r="K106" s="3"/>
      <c r="L106" s="3"/>
    </row>
    <row r="107" spans="1:12" hidden="1">
      <c r="A107" s="9">
        <f t="shared" si="14"/>
        <v>0</v>
      </c>
      <c r="B107" s="67">
        <f t="shared" si="16"/>
        <v>0</v>
      </c>
      <c r="C107" s="67">
        <f t="shared" si="16"/>
        <v>0</v>
      </c>
      <c r="D107" s="67">
        <f t="shared" si="16"/>
        <v>0</v>
      </c>
      <c r="E107" s="67">
        <f t="shared" si="16"/>
        <v>0</v>
      </c>
      <c r="F107" s="67">
        <f t="shared" si="16"/>
        <v>0</v>
      </c>
      <c r="G107" s="67">
        <f t="shared" si="16"/>
        <v>0</v>
      </c>
      <c r="H107" s="67">
        <f t="shared" si="16"/>
        <v>0</v>
      </c>
      <c r="J107" s="3"/>
      <c r="K107" s="3"/>
      <c r="L107" s="3"/>
    </row>
    <row r="108" spans="1:12" hidden="1">
      <c r="A108" s="9">
        <f t="shared" si="14"/>
        <v>0</v>
      </c>
      <c r="B108" s="67">
        <f t="shared" si="16"/>
        <v>0</v>
      </c>
      <c r="C108" s="67">
        <f t="shared" si="16"/>
        <v>0</v>
      </c>
      <c r="D108" s="67">
        <f t="shared" si="16"/>
        <v>0</v>
      </c>
      <c r="E108" s="67">
        <f t="shared" si="16"/>
        <v>0</v>
      </c>
      <c r="F108" s="67">
        <f t="shared" si="16"/>
        <v>0</v>
      </c>
      <c r="G108" s="67">
        <f t="shared" si="16"/>
        <v>0</v>
      </c>
      <c r="H108" s="67">
        <f t="shared" si="16"/>
        <v>0</v>
      </c>
      <c r="J108" s="3"/>
      <c r="K108" s="3"/>
      <c r="L108" s="3"/>
    </row>
    <row r="109" spans="1:12" hidden="1">
      <c r="A109" s="9">
        <f t="shared" si="14"/>
        <v>0</v>
      </c>
      <c r="B109" s="67">
        <f t="shared" si="16"/>
        <v>0</v>
      </c>
      <c r="C109" s="67">
        <f t="shared" si="16"/>
        <v>0</v>
      </c>
      <c r="D109" s="67">
        <f t="shared" si="16"/>
        <v>0</v>
      </c>
      <c r="E109" s="67">
        <f t="shared" si="16"/>
        <v>0</v>
      </c>
      <c r="F109" s="67">
        <f t="shared" si="16"/>
        <v>0</v>
      </c>
      <c r="G109" s="67">
        <f t="shared" si="16"/>
        <v>0</v>
      </c>
      <c r="H109" s="67">
        <f t="shared" si="16"/>
        <v>0</v>
      </c>
      <c r="J109" s="3"/>
      <c r="K109" s="3"/>
      <c r="L109" s="3"/>
    </row>
    <row r="110" spans="1:12" hidden="1">
      <c r="A110" s="9">
        <f t="shared" ref="A110:A116" si="17">A53</f>
        <v>0</v>
      </c>
      <c r="B110" s="67"/>
      <c r="C110" s="67"/>
      <c r="D110" s="67"/>
      <c r="E110" s="67"/>
      <c r="F110" s="67"/>
      <c r="G110" s="67"/>
      <c r="H110" s="67"/>
      <c r="J110" s="3"/>
      <c r="K110" s="3"/>
      <c r="L110" s="3"/>
    </row>
    <row r="111" spans="1:12" hidden="1">
      <c r="A111" s="9">
        <f t="shared" si="17"/>
        <v>0</v>
      </c>
      <c r="B111" s="67"/>
      <c r="C111" s="67"/>
      <c r="D111" s="67"/>
      <c r="E111" s="67"/>
      <c r="F111" s="67"/>
      <c r="G111" s="67"/>
      <c r="H111" s="67"/>
      <c r="J111" s="3"/>
      <c r="K111" s="3"/>
      <c r="L111" s="3"/>
    </row>
    <row r="112" spans="1:12">
      <c r="A112" s="9">
        <f t="shared" si="17"/>
        <v>0</v>
      </c>
      <c r="B112" s="67"/>
      <c r="C112" s="67"/>
      <c r="D112" s="67"/>
      <c r="E112" s="67"/>
      <c r="F112" s="67"/>
      <c r="G112" s="67"/>
      <c r="H112" s="67"/>
      <c r="J112" s="3"/>
      <c r="K112" s="3"/>
      <c r="L112" s="3"/>
    </row>
    <row r="113" spans="1:12">
      <c r="A113" s="9" t="str">
        <f t="shared" si="17"/>
        <v>Cashew</v>
      </c>
      <c r="B113" s="67">
        <f t="shared" ref="B113:H116" si="18">B56</f>
        <v>0</v>
      </c>
      <c r="C113" s="67">
        <f t="shared" si="18"/>
        <v>0</v>
      </c>
      <c r="D113" s="67">
        <f t="shared" si="18"/>
        <v>0</v>
      </c>
      <c r="E113" s="67">
        <f t="shared" si="18"/>
        <v>0</v>
      </c>
      <c r="F113" s="67">
        <f t="shared" si="18"/>
        <v>0</v>
      </c>
      <c r="G113" s="67">
        <f t="shared" si="18"/>
        <v>0</v>
      </c>
      <c r="H113" s="67">
        <f t="shared" si="18"/>
        <v>0</v>
      </c>
      <c r="J113" s="3"/>
      <c r="K113" s="3"/>
      <c r="L113" s="3"/>
    </row>
    <row r="114" spans="1:12" hidden="1">
      <c r="A114" s="9" t="str">
        <f t="shared" si="17"/>
        <v>Custard Apple</v>
      </c>
      <c r="B114" s="67">
        <f t="shared" si="18"/>
        <v>0</v>
      </c>
      <c r="C114" s="67">
        <f t="shared" si="18"/>
        <v>0</v>
      </c>
      <c r="D114" s="67">
        <f t="shared" si="18"/>
        <v>0</v>
      </c>
      <c r="E114" s="67">
        <f t="shared" si="18"/>
        <v>0</v>
      </c>
      <c r="F114" s="67">
        <f t="shared" si="18"/>
        <v>0</v>
      </c>
      <c r="G114" s="67">
        <f t="shared" si="18"/>
        <v>0</v>
      </c>
      <c r="H114" s="67">
        <f t="shared" si="18"/>
        <v>0</v>
      </c>
      <c r="J114" s="3"/>
      <c r="K114" s="3"/>
      <c r="L114" s="3"/>
    </row>
    <row r="115" spans="1:12" hidden="1">
      <c r="A115" s="9" t="str">
        <f t="shared" si="17"/>
        <v>Guava</v>
      </c>
      <c r="B115" s="67">
        <f t="shared" si="18"/>
        <v>0</v>
      </c>
      <c r="C115" s="67">
        <f t="shared" si="18"/>
        <v>0</v>
      </c>
      <c r="D115" s="67">
        <f t="shared" si="18"/>
        <v>0</v>
      </c>
      <c r="E115" s="67">
        <f t="shared" si="18"/>
        <v>0</v>
      </c>
      <c r="F115" s="67">
        <f t="shared" si="18"/>
        <v>0</v>
      </c>
      <c r="G115" s="67">
        <f t="shared" si="18"/>
        <v>0</v>
      </c>
      <c r="H115" s="67">
        <f t="shared" si="18"/>
        <v>0</v>
      </c>
      <c r="J115" s="3"/>
      <c r="K115" s="3"/>
      <c r="L115" s="3"/>
    </row>
    <row r="116" spans="1:12" hidden="1">
      <c r="A116" s="9" t="str">
        <f t="shared" si="17"/>
        <v>Citrus</v>
      </c>
      <c r="B116" s="67">
        <f t="shared" si="18"/>
        <v>0</v>
      </c>
      <c r="C116" s="67">
        <f t="shared" si="18"/>
        <v>0</v>
      </c>
      <c r="D116" s="67">
        <f t="shared" si="18"/>
        <v>0</v>
      </c>
      <c r="E116" s="67">
        <f t="shared" si="18"/>
        <v>0</v>
      </c>
      <c r="F116" s="67">
        <f t="shared" si="18"/>
        <v>0</v>
      </c>
      <c r="G116" s="67">
        <f t="shared" si="18"/>
        <v>0</v>
      </c>
      <c r="H116" s="67">
        <f t="shared" si="18"/>
        <v>0</v>
      </c>
      <c r="J116" s="3"/>
      <c r="K116" s="3"/>
      <c r="L116" s="3"/>
    </row>
    <row r="117" spans="1:12" hidden="1">
      <c r="A117" s="9"/>
      <c r="B117" s="67"/>
      <c r="C117" s="67"/>
      <c r="D117" s="67"/>
      <c r="E117" s="67"/>
      <c r="F117" s="67"/>
      <c r="G117" s="67"/>
      <c r="H117" s="67"/>
      <c r="J117" s="3"/>
      <c r="K117" s="3"/>
      <c r="L117" s="3"/>
    </row>
    <row r="118" spans="1:12" hidden="1">
      <c r="A118" s="9"/>
      <c r="B118" s="67"/>
      <c r="C118" s="67"/>
      <c r="D118" s="67"/>
      <c r="E118" s="67"/>
      <c r="F118" s="67"/>
      <c r="G118" s="67"/>
      <c r="H118" s="67"/>
      <c r="J118" s="3"/>
      <c r="K118" s="3"/>
      <c r="L118" s="3"/>
    </row>
    <row r="119" spans="1:12" hidden="1">
      <c r="A119" s="37" t="s">
        <v>572</v>
      </c>
      <c r="B119" s="9"/>
      <c r="C119" s="9"/>
      <c r="D119" s="9"/>
      <c r="E119" s="9"/>
      <c r="F119" s="9"/>
      <c r="G119" s="9"/>
      <c r="H119" s="9"/>
    </row>
    <row r="120" spans="1:12" hidden="1">
      <c r="A120" s="14" t="str">
        <f t="shared" ref="A120:A141" si="19">A68</f>
        <v>Soybean</v>
      </c>
      <c r="B120" s="61">
        <f t="shared" ref="B120:H129" si="20">B68-(B68*$G$6)</f>
        <v>0</v>
      </c>
      <c r="C120" s="61">
        <f t="shared" si="20"/>
        <v>0</v>
      </c>
      <c r="D120" s="61">
        <f t="shared" si="20"/>
        <v>0</v>
      </c>
      <c r="E120" s="61">
        <f t="shared" si="20"/>
        <v>0</v>
      </c>
      <c r="F120" s="61">
        <f t="shared" si="20"/>
        <v>0</v>
      </c>
      <c r="G120" s="61">
        <f t="shared" si="20"/>
        <v>0</v>
      </c>
      <c r="H120" s="61">
        <f t="shared" si="20"/>
        <v>0</v>
      </c>
    </row>
    <row r="121" spans="1:12" hidden="1">
      <c r="A121" s="14" t="str">
        <f t="shared" si="19"/>
        <v>Red Gram/Tur</v>
      </c>
      <c r="B121" s="61">
        <f t="shared" si="20"/>
        <v>0</v>
      </c>
      <c r="C121" s="61">
        <f t="shared" si="20"/>
        <v>0</v>
      </c>
      <c r="D121" s="61">
        <f t="shared" si="20"/>
        <v>0</v>
      </c>
      <c r="E121" s="61">
        <f t="shared" si="20"/>
        <v>0</v>
      </c>
      <c r="F121" s="61">
        <f t="shared" si="20"/>
        <v>0</v>
      </c>
      <c r="G121" s="61">
        <f t="shared" si="20"/>
        <v>0</v>
      </c>
      <c r="H121" s="61">
        <f t="shared" si="20"/>
        <v>0</v>
      </c>
    </row>
    <row r="122" spans="1:12" hidden="1">
      <c r="A122" s="14" t="str">
        <f t="shared" si="19"/>
        <v>Paddy/Rice</v>
      </c>
      <c r="B122" s="61">
        <f t="shared" si="20"/>
        <v>0</v>
      </c>
      <c r="C122" s="61">
        <f t="shared" si="20"/>
        <v>0</v>
      </c>
      <c r="D122" s="61">
        <f t="shared" si="20"/>
        <v>0</v>
      </c>
      <c r="E122" s="61">
        <f t="shared" si="20"/>
        <v>0</v>
      </c>
      <c r="F122" s="61">
        <f t="shared" si="20"/>
        <v>0</v>
      </c>
      <c r="G122" s="61">
        <f t="shared" si="20"/>
        <v>0</v>
      </c>
      <c r="H122" s="61">
        <f t="shared" si="20"/>
        <v>0</v>
      </c>
    </row>
    <row r="123" spans="1:12" hidden="1">
      <c r="A123" s="14" t="str">
        <f t="shared" si="19"/>
        <v>Green Gram/ Moong</v>
      </c>
      <c r="B123" s="61">
        <f t="shared" si="20"/>
        <v>0</v>
      </c>
      <c r="C123" s="61">
        <f t="shared" si="20"/>
        <v>0</v>
      </c>
      <c r="D123" s="61">
        <f t="shared" si="20"/>
        <v>0</v>
      </c>
      <c r="E123" s="61">
        <f t="shared" si="20"/>
        <v>0</v>
      </c>
      <c r="F123" s="61">
        <f t="shared" si="20"/>
        <v>0</v>
      </c>
      <c r="G123" s="61">
        <f t="shared" si="20"/>
        <v>0</v>
      </c>
      <c r="H123" s="61">
        <f t="shared" si="20"/>
        <v>0</v>
      </c>
    </row>
    <row r="124" spans="1:12" hidden="1">
      <c r="A124" s="14" t="str">
        <f t="shared" si="19"/>
        <v>Maize</v>
      </c>
      <c r="B124" s="61">
        <f t="shared" si="20"/>
        <v>0</v>
      </c>
      <c r="C124" s="61">
        <f t="shared" si="20"/>
        <v>0</v>
      </c>
      <c r="D124" s="61">
        <f t="shared" si="20"/>
        <v>0</v>
      </c>
      <c r="E124" s="61">
        <f t="shared" si="20"/>
        <v>0</v>
      </c>
      <c r="F124" s="61">
        <f t="shared" si="20"/>
        <v>0</v>
      </c>
      <c r="G124" s="61">
        <f t="shared" si="20"/>
        <v>0</v>
      </c>
      <c r="H124" s="61">
        <f t="shared" si="20"/>
        <v>0</v>
      </c>
    </row>
    <row r="125" spans="1:12" hidden="1">
      <c r="A125" s="14" t="str">
        <f t="shared" si="19"/>
        <v>Black Gram/Udid</v>
      </c>
      <c r="B125" s="61">
        <f t="shared" si="20"/>
        <v>0</v>
      </c>
      <c r="C125" s="61">
        <f t="shared" si="20"/>
        <v>0</v>
      </c>
      <c r="D125" s="61">
        <f t="shared" si="20"/>
        <v>0</v>
      </c>
      <c r="E125" s="61">
        <f t="shared" si="20"/>
        <v>0</v>
      </c>
      <c r="F125" s="61">
        <f t="shared" si="20"/>
        <v>0</v>
      </c>
      <c r="G125" s="61">
        <f t="shared" si="20"/>
        <v>0</v>
      </c>
      <c r="H125" s="61">
        <f t="shared" si="20"/>
        <v>0</v>
      </c>
    </row>
    <row r="126" spans="1:12" hidden="1">
      <c r="A126" s="14" t="str">
        <f t="shared" si="19"/>
        <v>Bajra</v>
      </c>
      <c r="B126" s="61">
        <f t="shared" si="20"/>
        <v>0</v>
      </c>
      <c r="C126" s="61">
        <f t="shared" si="20"/>
        <v>0</v>
      </c>
      <c r="D126" s="61">
        <f t="shared" si="20"/>
        <v>0</v>
      </c>
      <c r="E126" s="61">
        <f t="shared" si="20"/>
        <v>0</v>
      </c>
      <c r="F126" s="61">
        <f t="shared" si="20"/>
        <v>0</v>
      </c>
      <c r="G126" s="61">
        <f t="shared" si="20"/>
        <v>0</v>
      </c>
      <c r="H126" s="61">
        <f t="shared" si="20"/>
        <v>0</v>
      </c>
    </row>
    <row r="127" spans="1:12" hidden="1">
      <c r="A127" s="14" t="str">
        <f t="shared" si="19"/>
        <v>Jawar</v>
      </c>
      <c r="B127" s="61">
        <f t="shared" si="20"/>
        <v>0</v>
      </c>
      <c r="C127" s="61">
        <f t="shared" si="20"/>
        <v>0</v>
      </c>
      <c r="D127" s="61">
        <f t="shared" si="20"/>
        <v>0</v>
      </c>
      <c r="E127" s="61">
        <f t="shared" si="20"/>
        <v>0</v>
      </c>
      <c r="F127" s="61">
        <f t="shared" si="20"/>
        <v>0</v>
      </c>
      <c r="G127" s="61">
        <f t="shared" si="20"/>
        <v>0</v>
      </c>
      <c r="H127" s="61">
        <f t="shared" si="20"/>
        <v>0</v>
      </c>
    </row>
    <row r="128" spans="1:12" hidden="1">
      <c r="A128" s="14" t="str">
        <f t="shared" si="19"/>
        <v>Sunflower</v>
      </c>
      <c r="B128" s="61">
        <f t="shared" si="20"/>
        <v>0</v>
      </c>
      <c r="C128" s="61">
        <f t="shared" si="20"/>
        <v>0</v>
      </c>
      <c r="D128" s="61">
        <f t="shared" si="20"/>
        <v>0</v>
      </c>
      <c r="E128" s="61">
        <f t="shared" si="20"/>
        <v>0</v>
      </c>
      <c r="F128" s="61">
        <f t="shared" si="20"/>
        <v>0</v>
      </c>
      <c r="G128" s="61">
        <f t="shared" si="20"/>
        <v>0</v>
      </c>
      <c r="H128" s="61">
        <f t="shared" si="20"/>
        <v>0</v>
      </c>
    </row>
    <row r="129" spans="1:8" hidden="1">
      <c r="A129" s="14" t="str">
        <f t="shared" si="19"/>
        <v>Wheat</v>
      </c>
      <c r="B129" s="61">
        <f t="shared" si="20"/>
        <v>0</v>
      </c>
      <c r="C129" s="61">
        <f t="shared" si="20"/>
        <v>0</v>
      </c>
      <c r="D129" s="61">
        <f t="shared" si="20"/>
        <v>0</v>
      </c>
      <c r="E129" s="61">
        <f t="shared" si="20"/>
        <v>0</v>
      </c>
      <c r="F129" s="61">
        <f t="shared" si="20"/>
        <v>0</v>
      </c>
      <c r="G129" s="61">
        <f t="shared" si="20"/>
        <v>0</v>
      </c>
      <c r="H129" s="61">
        <f t="shared" si="20"/>
        <v>0</v>
      </c>
    </row>
    <row r="130" spans="1:8" hidden="1">
      <c r="A130" s="14" t="str">
        <f t="shared" si="19"/>
        <v>Bengal Gram/Channa</v>
      </c>
      <c r="B130" s="61">
        <f t="shared" ref="B130:H139" si="21">B78-(B78*$G$6)</f>
        <v>0</v>
      </c>
      <c r="C130" s="61">
        <f t="shared" si="21"/>
        <v>0</v>
      </c>
      <c r="D130" s="61">
        <f t="shared" si="21"/>
        <v>0</v>
      </c>
      <c r="E130" s="61">
        <f t="shared" si="21"/>
        <v>0</v>
      </c>
      <c r="F130" s="61">
        <f t="shared" si="21"/>
        <v>0</v>
      </c>
      <c r="G130" s="61">
        <f t="shared" si="21"/>
        <v>0</v>
      </c>
      <c r="H130" s="61">
        <f t="shared" si="21"/>
        <v>0</v>
      </c>
    </row>
    <row r="131" spans="1:8" hidden="1">
      <c r="A131" s="14" t="str">
        <f t="shared" si="19"/>
        <v>Jawar</v>
      </c>
      <c r="B131" s="61">
        <f t="shared" si="21"/>
        <v>0</v>
      </c>
      <c r="C131" s="61">
        <f t="shared" si="21"/>
        <v>0</v>
      </c>
      <c r="D131" s="61">
        <f t="shared" si="21"/>
        <v>0</v>
      </c>
      <c r="E131" s="61">
        <f t="shared" si="21"/>
        <v>0</v>
      </c>
      <c r="F131" s="61">
        <f t="shared" si="21"/>
        <v>0</v>
      </c>
      <c r="G131" s="61">
        <f t="shared" si="21"/>
        <v>0</v>
      </c>
      <c r="H131" s="61">
        <f t="shared" si="21"/>
        <v>0</v>
      </c>
    </row>
    <row r="132" spans="1:8" hidden="1">
      <c r="A132" s="14" t="str">
        <f t="shared" si="19"/>
        <v>Maize</v>
      </c>
      <c r="B132" s="61">
        <f t="shared" si="21"/>
        <v>0</v>
      </c>
      <c r="C132" s="61">
        <f t="shared" si="21"/>
        <v>0</v>
      </c>
      <c r="D132" s="61">
        <f t="shared" si="21"/>
        <v>0</v>
      </c>
      <c r="E132" s="61">
        <f t="shared" si="21"/>
        <v>0</v>
      </c>
      <c r="F132" s="61">
        <f t="shared" si="21"/>
        <v>0</v>
      </c>
      <c r="G132" s="61">
        <f t="shared" si="21"/>
        <v>0</v>
      </c>
      <c r="H132" s="61">
        <f t="shared" si="21"/>
        <v>0</v>
      </c>
    </row>
    <row r="133" spans="1:8" hidden="1">
      <c r="A133" s="14" t="str">
        <f t="shared" si="19"/>
        <v>Safflower</v>
      </c>
      <c r="B133" s="61">
        <f t="shared" si="21"/>
        <v>0</v>
      </c>
      <c r="C133" s="61">
        <f t="shared" si="21"/>
        <v>0</v>
      </c>
      <c r="D133" s="61">
        <f t="shared" si="21"/>
        <v>0</v>
      </c>
      <c r="E133" s="61">
        <f t="shared" si="21"/>
        <v>0</v>
      </c>
      <c r="F133" s="61">
        <f t="shared" si="21"/>
        <v>0</v>
      </c>
      <c r="G133" s="61">
        <f t="shared" si="21"/>
        <v>0</v>
      </c>
      <c r="H133" s="61">
        <f t="shared" si="21"/>
        <v>0</v>
      </c>
    </row>
    <row r="134" spans="1:8" hidden="1">
      <c r="A134" s="14">
        <f t="shared" si="19"/>
        <v>0</v>
      </c>
      <c r="B134" s="61">
        <f t="shared" si="21"/>
        <v>0</v>
      </c>
      <c r="C134" s="61">
        <f t="shared" si="21"/>
        <v>0</v>
      </c>
      <c r="D134" s="61">
        <f t="shared" si="21"/>
        <v>0</v>
      </c>
      <c r="E134" s="61">
        <f t="shared" si="21"/>
        <v>0</v>
      </c>
      <c r="F134" s="61">
        <f t="shared" si="21"/>
        <v>0</v>
      </c>
      <c r="G134" s="61">
        <f t="shared" si="21"/>
        <v>0</v>
      </c>
      <c r="H134" s="61">
        <f t="shared" si="21"/>
        <v>0</v>
      </c>
    </row>
    <row r="135" spans="1:8" hidden="1">
      <c r="A135" s="14">
        <f t="shared" si="19"/>
        <v>0</v>
      </c>
      <c r="B135" s="61">
        <f t="shared" si="21"/>
        <v>0</v>
      </c>
      <c r="C135" s="61">
        <f t="shared" si="21"/>
        <v>0</v>
      </c>
      <c r="D135" s="61">
        <f t="shared" si="21"/>
        <v>0</v>
      </c>
      <c r="E135" s="61">
        <f t="shared" si="21"/>
        <v>0</v>
      </c>
      <c r="F135" s="61">
        <f t="shared" si="21"/>
        <v>0</v>
      </c>
      <c r="G135" s="61">
        <f t="shared" si="21"/>
        <v>0</v>
      </c>
      <c r="H135" s="61">
        <f t="shared" si="21"/>
        <v>0</v>
      </c>
    </row>
    <row r="136" spans="1:8" hidden="1">
      <c r="A136" s="14">
        <f t="shared" si="19"/>
        <v>0</v>
      </c>
      <c r="B136" s="61">
        <f t="shared" si="21"/>
        <v>0</v>
      </c>
      <c r="C136" s="61">
        <f t="shared" si="21"/>
        <v>0</v>
      </c>
      <c r="D136" s="61">
        <f t="shared" si="21"/>
        <v>0</v>
      </c>
      <c r="E136" s="61">
        <f t="shared" si="21"/>
        <v>0</v>
      </c>
      <c r="F136" s="61">
        <f t="shared" si="21"/>
        <v>0</v>
      </c>
      <c r="G136" s="61">
        <f t="shared" si="21"/>
        <v>0</v>
      </c>
      <c r="H136" s="61">
        <f t="shared" si="21"/>
        <v>0</v>
      </c>
    </row>
    <row r="137" spans="1:8" hidden="1">
      <c r="A137" s="14" t="str">
        <f t="shared" si="19"/>
        <v>Groundnut</v>
      </c>
      <c r="B137" s="61">
        <f t="shared" si="21"/>
        <v>0</v>
      </c>
      <c r="C137" s="61">
        <f t="shared" si="21"/>
        <v>0</v>
      </c>
      <c r="D137" s="61">
        <f t="shared" si="21"/>
        <v>0</v>
      </c>
      <c r="E137" s="61">
        <f t="shared" si="21"/>
        <v>0</v>
      </c>
      <c r="F137" s="61">
        <f t="shared" si="21"/>
        <v>0</v>
      </c>
      <c r="G137" s="61">
        <f t="shared" si="21"/>
        <v>0</v>
      </c>
      <c r="H137" s="61">
        <f t="shared" si="21"/>
        <v>0</v>
      </c>
    </row>
    <row r="138" spans="1:8" hidden="1">
      <c r="A138" s="14">
        <f t="shared" si="19"/>
        <v>0</v>
      </c>
      <c r="B138" s="61">
        <f t="shared" si="21"/>
        <v>0</v>
      </c>
      <c r="C138" s="61">
        <f t="shared" si="21"/>
        <v>0</v>
      </c>
      <c r="D138" s="61">
        <f t="shared" si="21"/>
        <v>0</v>
      </c>
      <c r="E138" s="61">
        <f t="shared" si="21"/>
        <v>0</v>
      </c>
      <c r="F138" s="61">
        <f t="shared" si="21"/>
        <v>0</v>
      </c>
      <c r="G138" s="61">
        <f t="shared" si="21"/>
        <v>0</v>
      </c>
      <c r="H138" s="61">
        <f t="shared" si="21"/>
        <v>0</v>
      </c>
    </row>
    <row r="139" spans="1:8" hidden="1">
      <c r="A139" s="14">
        <f t="shared" si="19"/>
        <v>0</v>
      </c>
      <c r="B139" s="61">
        <f t="shared" si="21"/>
        <v>0</v>
      </c>
      <c r="C139" s="61">
        <f t="shared" si="21"/>
        <v>0</v>
      </c>
      <c r="D139" s="61">
        <f t="shared" si="21"/>
        <v>0</v>
      </c>
      <c r="E139" s="61">
        <f t="shared" si="21"/>
        <v>0</v>
      </c>
      <c r="F139" s="61">
        <f t="shared" si="21"/>
        <v>0</v>
      </c>
      <c r="G139" s="61">
        <f t="shared" si="21"/>
        <v>0</v>
      </c>
      <c r="H139" s="61">
        <f t="shared" si="21"/>
        <v>0</v>
      </c>
    </row>
    <row r="140" spans="1:8" hidden="1">
      <c r="A140" s="14">
        <f t="shared" si="19"/>
        <v>0</v>
      </c>
      <c r="B140" s="61">
        <f t="shared" ref="B140:H141" si="22">B88-(B88*$G$6)</f>
        <v>0</v>
      </c>
      <c r="C140" s="61">
        <f t="shared" si="22"/>
        <v>0</v>
      </c>
      <c r="D140" s="61">
        <f t="shared" si="22"/>
        <v>0</v>
      </c>
      <c r="E140" s="61">
        <f t="shared" si="22"/>
        <v>0</v>
      </c>
      <c r="F140" s="61">
        <f t="shared" si="22"/>
        <v>0</v>
      </c>
      <c r="G140" s="61">
        <f t="shared" si="22"/>
        <v>0</v>
      </c>
      <c r="H140" s="61">
        <f t="shared" si="22"/>
        <v>0</v>
      </c>
    </row>
    <row r="141" spans="1:8" hidden="1">
      <c r="A141" s="14">
        <f t="shared" si="19"/>
        <v>0</v>
      </c>
      <c r="B141" s="61">
        <f t="shared" si="22"/>
        <v>0</v>
      </c>
      <c r="C141" s="61">
        <f t="shared" si="22"/>
        <v>0</v>
      </c>
      <c r="D141" s="61">
        <f t="shared" si="22"/>
        <v>0</v>
      </c>
      <c r="E141" s="61">
        <f t="shared" si="22"/>
        <v>0</v>
      </c>
      <c r="F141" s="61">
        <f t="shared" si="22"/>
        <v>0</v>
      </c>
      <c r="G141" s="61">
        <f t="shared" si="22"/>
        <v>0</v>
      </c>
      <c r="H141" s="61">
        <f t="shared" si="22"/>
        <v>0</v>
      </c>
    </row>
    <row r="142" spans="1:8" hidden="1">
      <c r="A142" s="14"/>
      <c r="B142" s="61"/>
      <c r="C142" s="61"/>
      <c r="D142" s="61"/>
      <c r="E142" s="61"/>
      <c r="F142" s="61"/>
      <c r="G142" s="61"/>
      <c r="H142" s="61"/>
    </row>
    <row r="143" spans="1:8" hidden="1">
      <c r="A143" s="37" t="str">
        <f t="shared" ref="A143:A161" si="23">A91</f>
        <v>Fruit  &amp; Vegetables Crop Production Details</v>
      </c>
      <c r="B143" s="61"/>
      <c r="C143" s="61"/>
      <c r="D143" s="61"/>
      <c r="E143" s="61"/>
      <c r="F143" s="61"/>
      <c r="G143" s="61"/>
      <c r="H143" s="61"/>
    </row>
    <row r="144" spans="1:8" hidden="1">
      <c r="A144" s="14" t="str">
        <f t="shared" si="23"/>
        <v>Onion</v>
      </c>
      <c r="B144" s="61">
        <f t="shared" ref="B144:H153" si="24">B92-(B92*$G$7)</f>
        <v>0</v>
      </c>
      <c r="C144" s="61">
        <f t="shared" si="24"/>
        <v>0</v>
      </c>
      <c r="D144" s="61">
        <f t="shared" si="24"/>
        <v>0</v>
      </c>
      <c r="E144" s="61">
        <f t="shared" si="24"/>
        <v>0</v>
      </c>
      <c r="F144" s="61">
        <f t="shared" si="24"/>
        <v>0</v>
      </c>
      <c r="G144" s="61">
        <f t="shared" si="24"/>
        <v>0</v>
      </c>
      <c r="H144" s="61">
        <f t="shared" si="24"/>
        <v>0</v>
      </c>
    </row>
    <row r="145" spans="1:8" hidden="1">
      <c r="A145" s="14" t="str">
        <f t="shared" si="23"/>
        <v>Tomato</v>
      </c>
      <c r="B145" s="61">
        <f t="shared" si="24"/>
        <v>0</v>
      </c>
      <c r="C145" s="61">
        <f t="shared" si="24"/>
        <v>0</v>
      </c>
      <c r="D145" s="61">
        <f t="shared" si="24"/>
        <v>0</v>
      </c>
      <c r="E145" s="61">
        <f t="shared" si="24"/>
        <v>0</v>
      </c>
      <c r="F145" s="61">
        <f t="shared" si="24"/>
        <v>0</v>
      </c>
      <c r="G145" s="61">
        <f t="shared" si="24"/>
        <v>0</v>
      </c>
      <c r="H145" s="61">
        <f t="shared" si="24"/>
        <v>0</v>
      </c>
    </row>
    <row r="146" spans="1:8" hidden="1">
      <c r="A146" s="14" t="str">
        <f t="shared" si="23"/>
        <v>Okra</v>
      </c>
      <c r="B146" s="61">
        <f t="shared" si="24"/>
        <v>0</v>
      </c>
      <c r="C146" s="61">
        <f t="shared" si="24"/>
        <v>0</v>
      </c>
      <c r="D146" s="61">
        <f t="shared" si="24"/>
        <v>0</v>
      </c>
      <c r="E146" s="61">
        <f t="shared" si="24"/>
        <v>0</v>
      </c>
      <c r="F146" s="61">
        <f t="shared" si="24"/>
        <v>0</v>
      </c>
      <c r="G146" s="61">
        <f t="shared" si="24"/>
        <v>0</v>
      </c>
      <c r="H146" s="61">
        <f t="shared" si="24"/>
        <v>0</v>
      </c>
    </row>
    <row r="147" spans="1:8" hidden="1">
      <c r="A147" s="14" t="str">
        <f t="shared" si="23"/>
        <v>Chilli</v>
      </c>
      <c r="B147" s="61">
        <f t="shared" si="24"/>
        <v>0</v>
      </c>
      <c r="C147" s="61">
        <f t="shared" si="24"/>
        <v>0</v>
      </c>
      <c r="D147" s="61">
        <f t="shared" si="24"/>
        <v>0</v>
      </c>
      <c r="E147" s="61">
        <f t="shared" si="24"/>
        <v>0</v>
      </c>
      <c r="F147" s="61">
        <f t="shared" si="24"/>
        <v>0</v>
      </c>
      <c r="G147" s="61">
        <f t="shared" si="24"/>
        <v>0</v>
      </c>
      <c r="H147" s="61">
        <f t="shared" si="24"/>
        <v>0</v>
      </c>
    </row>
    <row r="148" spans="1:8" hidden="1">
      <c r="A148" s="14" t="str">
        <f t="shared" si="23"/>
        <v>Potato</v>
      </c>
      <c r="B148" s="61">
        <f t="shared" si="24"/>
        <v>0</v>
      </c>
      <c r="C148" s="61">
        <f t="shared" si="24"/>
        <v>0</v>
      </c>
      <c r="D148" s="61">
        <f t="shared" si="24"/>
        <v>0</v>
      </c>
      <c r="E148" s="61">
        <f t="shared" si="24"/>
        <v>0</v>
      </c>
      <c r="F148" s="61">
        <f t="shared" si="24"/>
        <v>0</v>
      </c>
      <c r="G148" s="61">
        <f t="shared" si="24"/>
        <v>0</v>
      </c>
      <c r="H148" s="61">
        <f t="shared" si="24"/>
        <v>0</v>
      </c>
    </row>
    <row r="149" spans="1:8" hidden="1">
      <c r="A149" s="14">
        <f t="shared" si="23"/>
        <v>0</v>
      </c>
      <c r="B149" s="61">
        <f t="shared" si="24"/>
        <v>0</v>
      </c>
      <c r="C149" s="61">
        <f t="shared" si="24"/>
        <v>0</v>
      </c>
      <c r="D149" s="61">
        <f t="shared" si="24"/>
        <v>0</v>
      </c>
      <c r="E149" s="61">
        <f t="shared" si="24"/>
        <v>0</v>
      </c>
      <c r="F149" s="61">
        <f t="shared" si="24"/>
        <v>0</v>
      </c>
      <c r="G149" s="61">
        <f t="shared" si="24"/>
        <v>0</v>
      </c>
      <c r="H149" s="61">
        <f t="shared" si="24"/>
        <v>0</v>
      </c>
    </row>
    <row r="150" spans="1:8" hidden="1">
      <c r="A150" s="14">
        <f t="shared" si="23"/>
        <v>0</v>
      </c>
      <c r="B150" s="61">
        <f t="shared" si="24"/>
        <v>0</v>
      </c>
      <c r="C150" s="61">
        <f t="shared" si="24"/>
        <v>0</v>
      </c>
      <c r="D150" s="61">
        <f t="shared" si="24"/>
        <v>0</v>
      </c>
      <c r="E150" s="61">
        <f t="shared" si="24"/>
        <v>0</v>
      </c>
      <c r="F150" s="61">
        <f t="shared" si="24"/>
        <v>0</v>
      </c>
      <c r="G150" s="61">
        <f t="shared" si="24"/>
        <v>0</v>
      </c>
      <c r="H150" s="61">
        <f t="shared" si="24"/>
        <v>0</v>
      </c>
    </row>
    <row r="151" spans="1:8" hidden="1">
      <c r="A151" s="14">
        <f t="shared" si="23"/>
        <v>0</v>
      </c>
      <c r="B151" s="61">
        <f t="shared" si="24"/>
        <v>0</v>
      </c>
      <c r="C151" s="61">
        <f t="shared" si="24"/>
        <v>0</v>
      </c>
      <c r="D151" s="61">
        <f t="shared" si="24"/>
        <v>0</v>
      </c>
      <c r="E151" s="61">
        <f t="shared" si="24"/>
        <v>0</v>
      </c>
      <c r="F151" s="61">
        <f t="shared" si="24"/>
        <v>0</v>
      </c>
      <c r="G151" s="61">
        <f t="shared" si="24"/>
        <v>0</v>
      </c>
      <c r="H151" s="61">
        <f t="shared" si="24"/>
        <v>0</v>
      </c>
    </row>
    <row r="152" spans="1:8" hidden="1">
      <c r="A152" s="14">
        <f t="shared" si="23"/>
        <v>0</v>
      </c>
      <c r="B152" s="61">
        <f t="shared" si="24"/>
        <v>0</v>
      </c>
      <c r="C152" s="61">
        <f t="shared" si="24"/>
        <v>0</v>
      </c>
      <c r="D152" s="61">
        <f t="shared" si="24"/>
        <v>0</v>
      </c>
      <c r="E152" s="61">
        <f t="shared" si="24"/>
        <v>0</v>
      </c>
      <c r="F152" s="61">
        <f t="shared" si="24"/>
        <v>0</v>
      </c>
      <c r="G152" s="61">
        <f t="shared" si="24"/>
        <v>0</v>
      </c>
      <c r="H152" s="61">
        <f t="shared" si="24"/>
        <v>0</v>
      </c>
    </row>
    <row r="153" spans="1:8" hidden="1">
      <c r="A153" s="14" t="str">
        <f t="shared" si="23"/>
        <v>Onion</v>
      </c>
      <c r="B153" s="61">
        <f t="shared" si="24"/>
        <v>0</v>
      </c>
      <c r="C153" s="61">
        <f t="shared" si="24"/>
        <v>0</v>
      </c>
      <c r="D153" s="61">
        <f t="shared" si="24"/>
        <v>0</v>
      </c>
      <c r="E153" s="61">
        <f t="shared" si="24"/>
        <v>0</v>
      </c>
      <c r="F153" s="61">
        <f t="shared" si="24"/>
        <v>0</v>
      </c>
      <c r="G153" s="61">
        <f t="shared" si="24"/>
        <v>0</v>
      </c>
      <c r="H153" s="61">
        <f t="shared" si="24"/>
        <v>0</v>
      </c>
    </row>
    <row r="154" spans="1:8" hidden="1">
      <c r="A154" s="14" t="str">
        <f t="shared" si="23"/>
        <v>Tomato</v>
      </c>
      <c r="B154" s="61">
        <f t="shared" ref="B154:H161" si="25">B102-(B102*$G$7)</f>
        <v>0</v>
      </c>
      <c r="C154" s="61">
        <f t="shared" si="25"/>
        <v>0</v>
      </c>
      <c r="D154" s="61">
        <f t="shared" si="25"/>
        <v>0</v>
      </c>
      <c r="E154" s="61">
        <f t="shared" si="25"/>
        <v>0</v>
      </c>
      <c r="F154" s="61">
        <f t="shared" si="25"/>
        <v>0</v>
      </c>
      <c r="G154" s="61">
        <f t="shared" si="25"/>
        <v>0</v>
      </c>
      <c r="H154" s="61">
        <f t="shared" si="25"/>
        <v>0</v>
      </c>
    </row>
    <row r="155" spans="1:8" hidden="1">
      <c r="A155" s="14" t="str">
        <f t="shared" si="23"/>
        <v>Okra</v>
      </c>
      <c r="B155" s="61">
        <f t="shared" si="25"/>
        <v>0</v>
      </c>
      <c r="C155" s="61">
        <f t="shared" si="25"/>
        <v>0</v>
      </c>
      <c r="D155" s="61">
        <f t="shared" si="25"/>
        <v>0</v>
      </c>
      <c r="E155" s="61">
        <f t="shared" si="25"/>
        <v>0</v>
      </c>
      <c r="F155" s="61">
        <f t="shared" si="25"/>
        <v>0</v>
      </c>
      <c r="G155" s="61">
        <f t="shared" si="25"/>
        <v>0</v>
      </c>
      <c r="H155" s="61">
        <f t="shared" si="25"/>
        <v>0</v>
      </c>
    </row>
    <row r="156" spans="1:8" hidden="1">
      <c r="A156" s="14" t="str">
        <f t="shared" si="23"/>
        <v>Chilli</v>
      </c>
      <c r="B156" s="61">
        <f t="shared" si="25"/>
        <v>0</v>
      </c>
      <c r="C156" s="61">
        <f t="shared" si="25"/>
        <v>0</v>
      </c>
      <c r="D156" s="61">
        <f t="shared" si="25"/>
        <v>0</v>
      </c>
      <c r="E156" s="61">
        <f t="shared" si="25"/>
        <v>0</v>
      </c>
      <c r="F156" s="61">
        <f t="shared" si="25"/>
        <v>0</v>
      </c>
      <c r="G156" s="61">
        <f t="shared" si="25"/>
        <v>0</v>
      </c>
      <c r="H156" s="61">
        <f t="shared" si="25"/>
        <v>0</v>
      </c>
    </row>
    <row r="157" spans="1:8" hidden="1">
      <c r="A157" s="14" t="str">
        <f t="shared" si="23"/>
        <v>Brinjal</v>
      </c>
      <c r="B157" s="61">
        <f t="shared" si="25"/>
        <v>0</v>
      </c>
      <c r="C157" s="61">
        <f t="shared" si="25"/>
        <v>0</v>
      </c>
      <c r="D157" s="61">
        <f t="shared" si="25"/>
        <v>0</v>
      </c>
      <c r="E157" s="61">
        <f t="shared" si="25"/>
        <v>0</v>
      </c>
      <c r="F157" s="61">
        <f t="shared" si="25"/>
        <v>0</v>
      </c>
      <c r="G157" s="61">
        <f t="shared" si="25"/>
        <v>0</v>
      </c>
      <c r="H157" s="61">
        <f t="shared" si="25"/>
        <v>0</v>
      </c>
    </row>
    <row r="158" spans="1:8" hidden="1">
      <c r="A158" s="14" t="str">
        <f t="shared" si="23"/>
        <v>Cashew</v>
      </c>
      <c r="B158" s="61">
        <f t="shared" si="25"/>
        <v>0</v>
      </c>
      <c r="C158" s="61">
        <f t="shared" si="25"/>
        <v>0</v>
      </c>
      <c r="D158" s="61">
        <f t="shared" si="25"/>
        <v>0</v>
      </c>
      <c r="E158" s="61">
        <f t="shared" si="25"/>
        <v>0</v>
      </c>
      <c r="F158" s="61">
        <f t="shared" si="25"/>
        <v>0</v>
      </c>
      <c r="G158" s="61">
        <f t="shared" si="25"/>
        <v>0</v>
      </c>
      <c r="H158" s="61">
        <f t="shared" si="25"/>
        <v>0</v>
      </c>
    </row>
    <row r="159" spans="1:8" hidden="1">
      <c r="A159" s="14">
        <f t="shared" si="23"/>
        <v>0</v>
      </c>
      <c r="B159" s="61">
        <f t="shared" si="25"/>
        <v>0</v>
      </c>
      <c r="C159" s="61">
        <f t="shared" si="25"/>
        <v>0</v>
      </c>
      <c r="D159" s="61">
        <f t="shared" si="25"/>
        <v>0</v>
      </c>
      <c r="E159" s="61">
        <f t="shared" si="25"/>
        <v>0</v>
      </c>
      <c r="F159" s="61">
        <f t="shared" si="25"/>
        <v>0</v>
      </c>
      <c r="G159" s="61">
        <f t="shared" si="25"/>
        <v>0</v>
      </c>
      <c r="H159" s="61">
        <f t="shared" si="25"/>
        <v>0</v>
      </c>
    </row>
    <row r="160" spans="1:8" hidden="1">
      <c r="A160" s="14">
        <f t="shared" si="23"/>
        <v>0</v>
      </c>
      <c r="B160" s="61">
        <f t="shared" si="25"/>
        <v>0</v>
      </c>
      <c r="C160" s="61">
        <f t="shared" si="25"/>
        <v>0</v>
      </c>
      <c r="D160" s="61">
        <f t="shared" si="25"/>
        <v>0</v>
      </c>
      <c r="E160" s="61">
        <f t="shared" si="25"/>
        <v>0</v>
      </c>
      <c r="F160" s="61">
        <f t="shared" si="25"/>
        <v>0</v>
      </c>
      <c r="G160" s="61">
        <f t="shared" si="25"/>
        <v>0</v>
      </c>
      <c r="H160" s="61">
        <f t="shared" si="25"/>
        <v>0</v>
      </c>
    </row>
    <row r="161" spans="1:10" hidden="1">
      <c r="A161" s="14">
        <f t="shared" si="23"/>
        <v>0</v>
      </c>
      <c r="B161" s="61">
        <f t="shared" si="25"/>
        <v>0</v>
      </c>
      <c r="C161" s="61">
        <f t="shared" si="25"/>
        <v>0</v>
      </c>
      <c r="D161" s="61">
        <f t="shared" si="25"/>
        <v>0</v>
      </c>
      <c r="E161" s="61">
        <f t="shared" si="25"/>
        <v>0</v>
      </c>
      <c r="F161" s="61">
        <f t="shared" si="25"/>
        <v>0</v>
      </c>
      <c r="G161" s="61">
        <f t="shared" si="25"/>
        <v>0</v>
      </c>
      <c r="H161" s="61">
        <f t="shared" si="25"/>
        <v>0</v>
      </c>
    </row>
    <row r="162" spans="1:10" hidden="1">
      <c r="A162" s="14">
        <f t="shared" ref="A162:A168" si="26">A110</f>
        <v>0</v>
      </c>
      <c r="B162" s="61">
        <f t="shared" ref="B162:H162" si="27">B110-(B110*$G$7)</f>
        <v>0</v>
      </c>
      <c r="C162" s="61">
        <f t="shared" si="27"/>
        <v>0</v>
      </c>
      <c r="D162" s="61">
        <f t="shared" si="27"/>
        <v>0</v>
      </c>
      <c r="E162" s="61">
        <f t="shared" si="27"/>
        <v>0</v>
      </c>
      <c r="F162" s="61">
        <f t="shared" si="27"/>
        <v>0</v>
      </c>
      <c r="G162" s="61">
        <f t="shared" si="27"/>
        <v>0</v>
      </c>
      <c r="H162" s="61">
        <f t="shared" si="27"/>
        <v>0</v>
      </c>
    </row>
    <row r="163" spans="1:10">
      <c r="A163" s="14">
        <f t="shared" si="26"/>
        <v>0</v>
      </c>
      <c r="B163" s="61">
        <f t="shared" ref="B163:H163" si="28">B111-(B111*$G$7)</f>
        <v>0</v>
      </c>
      <c r="C163" s="61">
        <f t="shared" si="28"/>
        <v>0</v>
      </c>
      <c r="D163" s="61">
        <f t="shared" si="28"/>
        <v>0</v>
      </c>
      <c r="E163" s="61">
        <f t="shared" si="28"/>
        <v>0</v>
      </c>
      <c r="F163" s="61">
        <f t="shared" si="28"/>
        <v>0</v>
      </c>
      <c r="G163" s="61">
        <f t="shared" si="28"/>
        <v>0</v>
      </c>
      <c r="H163" s="61">
        <f t="shared" si="28"/>
        <v>0</v>
      </c>
    </row>
    <row r="164" spans="1:10">
      <c r="A164" s="14">
        <f t="shared" si="26"/>
        <v>0</v>
      </c>
      <c r="B164" s="61">
        <f t="shared" ref="B164:H165" si="29">B112-(B112*$G$7)</f>
        <v>0</v>
      </c>
      <c r="C164" s="61">
        <f t="shared" si="29"/>
        <v>0</v>
      </c>
      <c r="D164" s="61">
        <f t="shared" si="29"/>
        <v>0</v>
      </c>
      <c r="E164" s="61">
        <f t="shared" si="29"/>
        <v>0</v>
      </c>
      <c r="F164" s="61">
        <f t="shared" si="29"/>
        <v>0</v>
      </c>
      <c r="G164" s="61">
        <f t="shared" si="29"/>
        <v>0</v>
      </c>
      <c r="H164" s="61">
        <f t="shared" si="29"/>
        <v>0</v>
      </c>
    </row>
    <row r="165" spans="1:10">
      <c r="A165" s="14" t="str">
        <f t="shared" si="26"/>
        <v>Cashew</v>
      </c>
      <c r="B165" s="100">
        <f t="shared" si="29"/>
        <v>0</v>
      </c>
      <c r="C165" s="100">
        <f t="shared" ref="C165:H168" si="30">C113-(C113*$G$7)</f>
        <v>0</v>
      </c>
      <c r="D165" s="100">
        <f t="shared" si="30"/>
        <v>0</v>
      </c>
      <c r="E165" s="100">
        <f t="shared" si="30"/>
        <v>0</v>
      </c>
      <c r="F165" s="100">
        <f t="shared" si="30"/>
        <v>0</v>
      </c>
      <c r="G165" s="100">
        <f t="shared" si="30"/>
        <v>0</v>
      </c>
      <c r="H165" s="100">
        <f t="shared" si="30"/>
        <v>0</v>
      </c>
    </row>
    <row r="166" spans="1:10" hidden="1">
      <c r="A166" s="14" t="str">
        <f t="shared" si="26"/>
        <v>Custard Apple</v>
      </c>
      <c r="B166" s="61">
        <f>B114-(B114*$G$7)</f>
        <v>0</v>
      </c>
      <c r="C166" s="61">
        <f t="shared" si="30"/>
        <v>0</v>
      </c>
      <c r="D166" s="61">
        <f t="shared" si="30"/>
        <v>0</v>
      </c>
      <c r="E166" s="61">
        <f t="shared" si="30"/>
        <v>0</v>
      </c>
      <c r="F166" s="61">
        <f t="shared" si="30"/>
        <v>0</v>
      </c>
      <c r="G166" s="61">
        <f t="shared" si="30"/>
        <v>0</v>
      </c>
      <c r="H166" s="61">
        <f t="shared" si="30"/>
        <v>0</v>
      </c>
    </row>
    <row r="167" spans="1:10" hidden="1">
      <c r="A167" s="14" t="str">
        <f t="shared" si="26"/>
        <v>Guava</v>
      </c>
      <c r="B167" s="61">
        <f>B115-(B115*$G$7)</f>
        <v>0</v>
      </c>
      <c r="C167" s="61">
        <f t="shared" si="30"/>
        <v>0</v>
      </c>
      <c r="D167" s="61">
        <f t="shared" si="30"/>
        <v>0</v>
      </c>
      <c r="E167" s="61">
        <f t="shared" si="30"/>
        <v>0</v>
      </c>
      <c r="F167" s="61">
        <f t="shared" si="30"/>
        <v>0</v>
      </c>
      <c r="G167" s="61">
        <f t="shared" si="30"/>
        <v>0</v>
      </c>
      <c r="H167" s="61">
        <f t="shared" si="30"/>
        <v>0</v>
      </c>
    </row>
    <row r="168" spans="1:10" hidden="1">
      <c r="A168" s="14" t="str">
        <f t="shared" si="26"/>
        <v>Citrus</v>
      </c>
      <c r="B168" s="61">
        <f>B116-(B116*$G$7)</f>
        <v>0</v>
      </c>
      <c r="C168" s="61">
        <f t="shared" si="30"/>
        <v>0</v>
      </c>
      <c r="D168" s="61">
        <f t="shared" si="30"/>
        <v>0</v>
      </c>
      <c r="E168" s="61">
        <f t="shared" si="30"/>
        <v>0</v>
      </c>
      <c r="F168" s="61">
        <f t="shared" si="30"/>
        <v>0</v>
      </c>
      <c r="G168" s="61">
        <f t="shared" si="30"/>
        <v>0</v>
      </c>
      <c r="H168" s="61">
        <f t="shared" si="30"/>
        <v>0</v>
      </c>
    </row>
    <row r="169" spans="1:10">
      <c r="A169" s="23"/>
    </row>
    <row r="170" spans="1:10">
      <c r="A170" s="456" t="s">
        <v>573</v>
      </c>
      <c r="B170" s="456"/>
      <c r="C170" s="456"/>
      <c r="D170" s="456"/>
      <c r="E170" s="456"/>
      <c r="F170" s="456"/>
      <c r="G170" s="456"/>
      <c r="H170" s="456"/>
      <c r="I170" s="456"/>
      <c r="J170" s="456"/>
    </row>
    <row r="171" spans="1:10">
      <c r="A171" s="68"/>
      <c r="B171" s="68"/>
      <c r="C171" s="68"/>
      <c r="D171" s="68"/>
      <c r="E171" s="68"/>
      <c r="F171" s="68"/>
      <c r="G171" s="68"/>
      <c r="H171" s="68"/>
    </row>
    <row r="172" spans="1:10">
      <c r="A172" s="68"/>
      <c r="B172" s="68"/>
      <c r="C172" s="68"/>
      <c r="D172" s="69">
        <v>1</v>
      </c>
      <c r="E172" s="70">
        <f>(D172*5%)+D172</f>
        <v>1.05</v>
      </c>
      <c r="F172" s="70">
        <f t="shared" ref="F172:J172" si="31">(E172*5%)+E172</f>
        <v>1.1025</v>
      </c>
      <c r="G172" s="70">
        <f t="shared" si="31"/>
        <v>1.1576250000000001</v>
      </c>
      <c r="H172" s="70">
        <f t="shared" si="31"/>
        <v>1.2155062500000002</v>
      </c>
      <c r="I172" s="70">
        <f t="shared" si="31"/>
        <v>1.2762815625000004</v>
      </c>
      <c r="J172" s="70">
        <f t="shared" si="31"/>
        <v>1.3400956406250004</v>
      </c>
    </row>
    <row r="174" spans="1:10">
      <c r="D174" s="41"/>
      <c r="E174" s="41"/>
      <c r="F174" s="41"/>
      <c r="G174" s="41"/>
      <c r="H174" s="41"/>
      <c r="I174" s="41"/>
      <c r="J174" s="41"/>
    </row>
    <row r="175" spans="1:10">
      <c r="A175" s="7" t="s">
        <v>145</v>
      </c>
      <c r="B175" s="7"/>
      <c r="C175" s="7" t="s">
        <v>126</v>
      </c>
      <c r="D175" s="8" t="s">
        <v>148</v>
      </c>
      <c r="E175" s="8" t="s">
        <v>149</v>
      </c>
      <c r="F175" s="8" t="s">
        <v>150</v>
      </c>
      <c r="G175" s="8" t="s">
        <v>151</v>
      </c>
      <c r="H175" s="8" t="s">
        <v>152</v>
      </c>
      <c r="I175" s="8" t="s">
        <v>153</v>
      </c>
      <c r="J175" s="8" t="s">
        <v>154</v>
      </c>
    </row>
    <row r="176" spans="1:10">
      <c r="A176" s="16"/>
      <c r="B176" s="16"/>
      <c r="C176" s="16"/>
      <c r="D176" s="9"/>
      <c r="E176" s="9"/>
      <c r="F176" s="9"/>
      <c r="G176" s="9"/>
      <c r="H176" s="9"/>
      <c r="I176" s="9"/>
      <c r="J176" s="9"/>
    </row>
    <row r="177" spans="1:10">
      <c r="A177" s="16" t="s">
        <v>343</v>
      </c>
      <c r="B177" s="16"/>
      <c r="C177" s="16"/>
      <c r="D177" s="9"/>
      <c r="E177" s="9"/>
      <c r="F177" s="9"/>
      <c r="G177" s="9"/>
      <c r="H177" s="9"/>
      <c r="I177" s="9"/>
      <c r="J177" s="9"/>
    </row>
    <row r="178" spans="1:10" hidden="1">
      <c r="A178" s="9" t="str">
        <f t="shared" ref="A178:A198" si="32">A120</f>
        <v>Soybean</v>
      </c>
      <c r="B178" s="9" t="s">
        <v>574</v>
      </c>
      <c r="C178" s="17">
        <v>4000</v>
      </c>
      <c r="D178" s="71">
        <f>(B120*(1-'5.Closing Stock &amp; W Capital'!$D$16))*C$178*D172</f>
        <v>0</v>
      </c>
      <c r="E178" s="71">
        <f>((C120*(1-'5.Closing Stock &amp; W Capital'!$D$16))+(B120*'5.Closing Stock &amp; W Capital'!$D$16))*$C178*E$172</f>
        <v>0</v>
      </c>
      <c r="F178" s="71">
        <f>((D120*(1-'5.Closing Stock &amp; W Capital'!$D$16))+(C120*'5.Closing Stock &amp; W Capital'!$D$16))*$C178*F$172</f>
        <v>0</v>
      </c>
      <c r="G178" s="71">
        <f>((E120*(1-'5.Closing Stock &amp; W Capital'!$D$16))+(D120*'5.Closing Stock &amp; W Capital'!$D$16))*$C178*G$172</f>
        <v>0</v>
      </c>
      <c r="H178" s="71">
        <f>((F120*(1-'5.Closing Stock &amp; W Capital'!$D$16))+(E120*'5.Closing Stock &amp; W Capital'!$D$16))*$C178*H$172</f>
        <v>0</v>
      </c>
      <c r="I178" s="71">
        <f>((G120*(1-'5.Closing Stock &amp; W Capital'!$D$16))+(F120*'5.Closing Stock &amp; W Capital'!$D$16))*$C178*I$172</f>
        <v>0</v>
      </c>
      <c r="J178" s="71">
        <f>((H120*(1-'5.Closing Stock &amp; W Capital'!$D$16))+(G120*'5.Closing Stock &amp; W Capital'!$D$16))*$C178*J$172</f>
        <v>0</v>
      </c>
    </row>
    <row r="179" spans="1:10" hidden="1">
      <c r="A179" s="9" t="str">
        <f t="shared" si="32"/>
        <v>Red Gram/Tur</v>
      </c>
      <c r="B179" s="9" t="s">
        <v>574</v>
      </c>
      <c r="C179" s="17">
        <v>6000</v>
      </c>
      <c r="D179" s="71">
        <f>(B121*(1-'5.Closing Stock &amp; W Capital'!$D$16))*$C179*D$172</f>
        <v>0</v>
      </c>
      <c r="E179" s="71">
        <f>((C121*(1-'5.Closing Stock &amp; W Capital'!$D$16))+(B121*'5.Closing Stock &amp; W Capital'!$D$16))*$C179*E$172</f>
        <v>0</v>
      </c>
      <c r="F179" s="71">
        <f>((D121*(1-'5.Closing Stock &amp; W Capital'!$D$16))+(C121*'5.Closing Stock &amp; W Capital'!$D$16))*$C179*F$172</f>
        <v>0</v>
      </c>
      <c r="G179" s="71">
        <f>((E121*(1-'5.Closing Stock &amp; W Capital'!$D$16))+(D121*'5.Closing Stock &amp; W Capital'!$D$16))*$C179*G$172</f>
        <v>0</v>
      </c>
      <c r="H179" s="71">
        <f>((F121*(1-'5.Closing Stock &amp; W Capital'!$D$16))+(E121*'5.Closing Stock &amp; W Capital'!$D$16))*$C179*H$172</f>
        <v>0</v>
      </c>
      <c r="I179" s="71">
        <f>((G121*(1-'5.Closing Stock &amp; W Capital'!$D$16))+(F121*'5.Closing Stock &amp; W Capital'!$D$16))*$C179*I$172</f>
        <v>0</v>
      </c>
      <c r="J179" s="71">
        <f>((H121*(1-'5.Closing Stock &amp; W Capital'!$D$16))+(G121*'5.Closing Stock &amp; W Capital'!$D$16))*$C179*J$172</f>
        <v>0</v>
      </c>
    </row>
    <row r="180" spans="1:10" hidden="1">
      <c r="A180" s="9" t="str">
        <f t="shared" si="32"/>
        <v>Paddy/Rice</v>
      </c>
      <c r="B180" s="9" t="s">
        <v>574</v>
      </c>
      <c r="C180" s="17">
        <v>2350</v>
      </c>
      <c r="D180" s="71">
        <f>(B122*(1-'5.Closing Stock &amp; W Capital'!$D$16))*$C180*D$172</f>
        <v>0</v>
      </c>
      <c r="E180" s="71">
        <f>((C122*(1-'5.Closing Stock &amp; W Capital'!$D$16))+(B122*'5.Closing Stock &amp; W Capital'!$D$16))*$C180*E$172</f>
        <v>0</v>
      </c>
      <c r="F180" s="71">
        <f>((D122*(1-'5.Closing Stock &amp; W Capital'!$D$16))+(C122*'5.Closing Stock &amp; W Capital'!$D$16))*$C180*F$172</f>
        <v>0</v>
      </c>
      <c r="G180" s="71">
        <f>((E122*(1-'5.Closing Stock &amp; W Capital'!$D$16))+(D122*'5.Closing Stock &amp; W Capital'!$D$16))*$C180*G$172</f>
        <v>0</v>
      </c>
      <c r="H180" s="71">
        <f>((F122*(1-'5.Closing Stock &amp; W Capital'!$D$16))+(E122*'5.Closing Stock &amp; W Capital'!$D$16))*$C180*H$172</f>
        <v>0</v>
      </c>
      <c r="I180" s="71">
        <f>((G122*(1-'5.Closing Stock &amp; W Capital'!$D$16))+(F122*'5.Closing Stock &amp; W Capital'!$D$16))*$C180*I$172</f>
        <v>0</v>
      </c>
      <c r="J180" s="71">
        <f>((H122*(1-'5.Closing Stock &amp; W Capital'!$D$16))+(G122*'5.Closing Stock &amp; W Capital'!$D$16))*$C180*J$172</f>
        <v>0</v>
      </c>
    </row>
    <row r="181" spans="1:10" hidden="1">
      <c r="A181" s="9" t="str">
        <f t="shared" si="32"/>
        <v>Green Gram/ Moong</v>
      </c>
      <c r="B181" s="9" t="s">
        <v>574</v>
      </c>
      <c r="C181" s="17">
        <v>6000</v>
      </c>
      <c r="D181" s="71">
        <f>(B123*(1-'5.Closing Stock &amp; W Capital'!$D$16))*$C181*D$172</f>
        <v>0</v>
      </c>
      <c r="E181" s="71">
        <f>((C123*(1-'5.Closing Stock &amp; W Capital'!$D$16))+(B123*'5.Closing Stock &amp; W Capital'!$D$16))*$C181*E$172</f>
        <v>0</v>
      </c>
      <c r="F181" s="71">
        <f>((D123*(1-'5.Closing Stock &amp; W Capital'!$D$16))+(C123*'5.Closing Stock &amp; W Capital'!$D$16))*$C181*F$172</f>
        <v>0</v>
      </c>
      <c r="G181" s="71">
        <f>((E123*(1-'5.Closing Stock &amp; W Capital'!$D$16))+(D123*'5.Closing Stock &amp; W Capital'!$D$16))*$C181*G$172</f>
        <v>0</v>
      </c>
      <c r="H181" s="71">
        <f>((F123*(1-'5.Closing Stock &amp; W Capital'!$D$16))+(E123*'5.Closing Stock &amp; W Capital'!$D$16))*$C181*H$172</f>
        <v>0</v>
      </c>
      <c r="I181" s="71">
        <f>((G123*(1-'5.Closing Stock &amp; W Capital'!$D$16))+(F123*'5.Closing Stock &amp; W Capital'!$D$16))*$C181*I$172</f>
        <v>0</v>
      </c>
      <c r="J181" s="71">
        <f>((H123*(1-'5.Closing Stock &amp; W Capital'!$D$16))+(G123*'5.Closing Stock &amp; W Capital'!$D$16))*$C181*J$172</f>
        <v>0</v>
      </c>
    </row>
    <row r="182" spans="1:10" hidden="1">
      <c r="A182" s="9" t="str">
        <f t="shared" si="32"/>
        <v>Maize</v>
      </c>
      <c r="B182" s="9" t="s">
        <v>574</v>
      </c>
      <c r="C182" s="17"/>
      <c r="D182" s="71">
        <f>(B124*(1-'5.Closing Stock &amp; W Capital'!$D$16))*$C182*D$172</f>
        <v>0</v>
      </c>
      <c r="E182" s="71">
        <f>((C124*(1-'5.Closing Stock &amp; W Capital'!$D$16))+(B124*'5.Closing Stock &amp; W Capital'!$D$16))*$C182*E$172</f>
        <v>0</v>
      </c>
      <c r="F182" s="71">
        <f>((D124*(1-'5.Closing Stock &amp; W Capital'!$D$16))+(C124*'5.Closing Stock &amp; W Capital'!$D$16))*$C182*F$172</f>
        <v>0</v>
      </c>
      <c r="G182" s="71">
        <f>((E124*(1-'5.Closing Stock &amp; W Capital'!$D$16))+(D124*'5.Closing Stock &amp; W Capital'!$D$16))*$C182*G$172</f>
        <v>0</v>
      </c>
      <c r="H182" s="71">
        <f>((F124*(1-'5.Closing Stock &amp; W Capital'!$D$16))+(E124*'5.Closing Stock &amp; W Capital'!$D$16))*$C182*H$172</f>
        <v>0</v>
      </c>
      <c r="I182" s="71">
        <f>((G124*(1-'5.Closing Stock &amp; W Capital'!$D$16))+(F124*'5.Closing Stock &amp; W Capital'!$D$16))*$C182*I$172</f>
        <v>0</v>
      </c>
      <c r="J182" s="71">
        <f>((H124*(1-'5.Closing Stock &amp; W Capital'!$D$16))+(G124*'5.Closing Stock &amp; W Capital'!$D$16))*$C182*J$172</f>
        <v>0</v>
      </c>
    </row>
    <row r="183" spans="1:10" hidden="1">
      <c r="A183" s="9" t="str">
        <f t="shared" si="32"/>
        <v>Black Gram/Udid</v>
      </c>
      <c r="B183" s="9" t="s">
        <v>574</v>
      </c>
      <c r="C183" s="17">
        <v>6500</v>
      </c>
      <c r="D183" s="71">
        <f>(B125*(1-'5.Closing Stock &amp; W Capital'!$D$16))*$C183*D$172</f>
        <v>0</v>
      </c>
      <c r="E183" s="71">
        <f>((C125*(1-'5.Closing Stock &amp; W Capital'!$D$16))+(B125*'5.Closing Stock &amp; W Capital'!$D$16))*$C183*E$172</f>
        <v>0</v>
      </c>
      <c r="F183" s="71">
        <f>((D125*(1-'5.Closing Stock &amp; W Capital'!$D$16))+(C125*'5.Closing Stock &amp; W Capital'!$D$16))*$C183*F$172</f>
        <v>0</v>
      </c>
      <c r="G183" s="71">
        <f>((E125*(1-'5.Closing Stock &amp; W Capital'!$D$16))+(D125*'5.Closing Stock &amp; W Capital'!$D$16))*$C183*G$172</f>
        <v>0</v>
      </c>
      <c r="H183" s="71">
        <f>((F125*(1-'5.Closing Stock &amp; W Capital'!$D$16))+(E125*'5.Closing Stock &amp; W Capital'!$D$16))*$C183*H$172</f>
        <v>0</v>
      </c>
      <c r="I183" s="71">
        <f>((G125*(1-'5.Closing Stock &amp; W Capital'!$D$16))+(F125*'5.Closing Stock &amp; W Capital'!$D$16))*$C183*I$172</f>
        <v>0</v>
      </c>
      <c r="J183" s="71">
        <f>((H125*(1-'5.Closing Stock &amp; W Capital'!$D$16))+(G125*'5.Closing Stock &amp; W Capital'!$D$16))*$C183*J$172</f>
        <v>0</v>
      </c>
    </row>
    <row r="184" spans="1:10" hidden="1">
      <c r="A184" s="9" t="str">
        <f t="shared" si="32"/>
        <v>Bajra</v>
      </c>
      <c r="B184" s="9" t="s">
        <v>574</v>
      </c>
      <c r="C184" s="17">
        <v>2000</v>
      </c>
      <c r="D184" s="71">
        <f>(B126*(1-'5.Closing Stock &amp; W Capital'!$D$16))*$C184*D$172</f>
        <v>0</v>
      </c>
      <c r="E184" s="71">
        <f>((C126*(1-'5.Closing Stock &amp; W Capital'!$D$16))+(B126*'5.Closing Stock &amp; W Capital'!$D$16))*$C184*E$172</f>
        <v>0</v>
      </c>
      <c r="F184" s="71">
        <f>((D126*(1-'5.Closing Stock &amp; W Capital'!$D$16))+(C126*'5.Closing Stock &amp; W Capital'!$D$16))*$C184*F$172</f>
        <v>0</v>
      </c>
      <c r="G184" s="71">
        <f>((E126*(1-'5.Closing Stock &amp; W Capital'!$D$16))+(D126*'5.Closing Stock &amp; W Capital'!$D$16))*$C184*G$172</f>
        <v>0</v>
      </c>
      <c r="H184" s="71">
        <f>((F126*(1-'5.Closing Stock &amp; W Capital'!$D$16))+(E126*'5.Closing Stock &amp; W Capital'!$D$16))*$C184*H$172</f>
        <v>0</v>
      </c>
      <c r="I184" s="71">
        <f>((G126*(1-'5.Closing Stock &amp; W Capital'!$D$16))+(F126*'5.Closing Stock &amp; W Capital'!$D$16))*$C184*I$172</f>
        <v>0</v>
      </c>
      <c r="J184" s="71">
        <f>((H126*(1-'5.Closing Stock &amp; W Capital'!$D$16))+(G126*'5.Closing Stock &amp; W Capital'!$D$16))*$C184*J$172</f>
        <v>0</v>
      </c>
    </row>
    <row r="185" spans="1:10" hidden="1">
      <c r="A185" s="9" t="str">
        <f t="shared" si="32"/>
        <v>Jawar</v>
      </c>
      <c r="B185" s="9" t="s">
        <v>574</v>
      </c>
      <c r="C185" s="17"/>
      <c r="D185" s="71">
        <f>(B127*(1-'5.Closing Stock &amp; W Capital'!$D$16))*$C185*D$172</f>
        <v>0</v>
      </c>
      <c r="E185" s="71">
        <f>((C127*(1-'5.Closing Stock &amp; W Capital'!$D$16))+(B127*'5.Closing Stock &amp; W Capital'!$D$16))*$C185*E$172</f>
        <v>0</v>
      </c>
      <c r="F185" s="71">
        <f>((D127*(1-'5.Closing Stock &amp; W Capital'!$D$16))+(C127*'5.Closing Stock &amp; W Capital'!$D$16))*$C185*F$172</f>
        <v>0</v>
      </c>
      <c r="G185" s="71">
        <f>((E127*(1-'5.Closing Stock &amp; W Capital'!$D$16))+(D127*'5.Closing Stock &amp; W Capital'!$D$16))*$C185*G$172</f>
        <v>0</v>
      </c>
      <c r="H185" s="71">
        <f>((F127*(1-'5.Closing Stock &amp; W Capital'!$D$16))+(E127*'5.Closing Stock &amp; W Capital'!$D$16))*$C185*H$172</f>
        <v>0</v>
      </c>
      <c r="I185" s="71">
        <f>((G127*(1-'5.Closing Stock &amp; W Capital'!$D$16))+(F127*'5.Closing Stock &amp; W Capital'!$D$16))*$C185*I$172</f>
        <v>0</v>
      </c>
      <c r="J185" s="71">
        <f>((H127*(1-'5.Closing Stock &amp; W Capital'!$D$16))+(G127*'5.Closing Stock &amp; W Capital'!$D$16))*$C185*J$172</f>
        <v>0</v>
      </c>
    </row>
    <row r="186" spans="1:10" hidden="1">
      <c r="A186" s="9" t="str">
        <f t="shared" si="32"/>
        <v>Sunflower</v>
      </c>
      <c r="B186" s="9" t="s">
        <v>574</v>
      </c>
      <c r="C186" s="17"/>
      <c r="D186" s="71">
        <f>(B128*(1-'5.Closing Stock &amp; W Capital'!$D$16))*$C186*D$172</f>
        <v>0</v>
      </c>
      <c r="E186" s="71">
        <f>((C128*(1-'5.Closing Stock &amp; W Capital'!$D$16))+(B128*'5.Closing Stock &amp; W Capital'!$D$16))*$C186*E$172</f>
        <v>0</v>
      </c>
      <c r="F186" s="71">
        <f>((D128*(1-'5.Closing Stock &amp; W Capital'!$D$16))+(C128*'5.Closing Stock &amp; W Capital'!$D$16))*$C186*F$172</f>
        <v>0</v>
      </c>
      <c r="G186" s="71">
        <f>((E128*(1-'5.Closing Stock &amp; W Capital'!$D$16))+(D128*'5.Closing Stock &amp; W Capital'!$D$16))*$C186*G$172</f>
        <v>0</v>
      </c>
      <c r="H186" s="71">
        <f>((F128*(1-'5.Closing Stock &amp; W Capital'!$D$16))+(E128*'5.Closing Stock &amp; W Capital'!$D$16))*$C186*H$172</f>
        <v>0</v>
      </c>
      <c r="I186" s="71">
        <f>((G128*(1-'5.Closing Stock &amp; W Capital'!$D$16))+(F128*'5.Closing Stock &amp; W Capital'!$D$16))*$C186*I$172</f>
        <v>0</v>
      </c>
      <c r="J186" s="71">
        <f>((H128*(1-'5.Closing Stock &amp; W Capital'!$D$16))+(G128*'5.Closing Stock &amp; W Capital'!$D$16))*$C186*J$172</f>
        <v>0</v>
      </c>
    </row>
    <row r="187" spans="1:10" hidden="1">
      <c r="A187" s="9" t="str">
        <f t="shared" si="32"/>
        <v>Wheat</v>
      </c>
      <c r="B187" s="9" t="s">
        <v>574</v>
      </c>
      <c r="C187" s="17"/>
      <c r="D187" s="71">
        <f>(B129*(1-'5.Closing Stock &amp; W Capital'!$D$16))*$C187*D$172</f>
        <v>0</v>
      </c>
      <c r="E187" s="71">
        <f>((C129*(1-'5.Closing Stock &amp; W Capital'!$D$16))+(B129*'5.Closing Stock &amp; W Capital'!$D$16))*$C187*E$172</f>
        <v>0</v>
      </c>
      <c r="F187" s="71">
        <f>((D129*(1-'5.Closing Stock &amp; W Capital'!$D$16))+(C129*'5.Closing Stock &amp; W Capital'!$D$16))*$C187*F$172</f>
        <v>0</v>
      </c>
      <c r="G187" s="71">
        <f>((E129*(1-'5.Closing Stock &amp; W Capital'!$D$16))+(D129*'5.Closing Stock &amp; W Capital'!$D$16))*$C187*G$172</f>
        <v>0</v>
      </c>
      <c r="H187" s="71">
        <f>((F129*(1-'5.Closing Stock &amp; W Capital'!$D$16))+(E129*'5.Closing Stock &amp; W Capital'!$D$16))*$C187*H$172</f>
        <v>0</v>
      </c>
      <c r="I187" s="71">
        <f>((G129*(1-'5.Closing Stock &amp; W Capital'!$D$16))+(F129*'5.Closing Stock &amp; W Capital'!$D$16))*$C187*I$172</f>
        <v>0</v>
      </c>
      <c r="J187" s="71">
        <f>((H129*(1-'5.Closing Stock &amp; W Capital'!$D$16))+(G129*'5.Closing Stock &amp; W Capital'!$D$16))*$C187*J$172</f>
        <v>0</v>
      </c>
    </row>
    <row r="188" spans="1:10" hidden="1">
      <c r="A188" s="9" t="str">
        <f t="shared" si="32"/>
        <v>Bengal Gram/Channa</v>
      </c>
      <c r="B188" s="9" t="s">
        <v>574</v>
      </c>
      <c r="C188" s="17">
        <v>5000</v>
      </c>
      <c r="D188" s="71">
        <f>(B130*(1-'5.Closing Stock &amp; W Capital'!$D$16))*$C188*D$172</f>
        <v>0</v>
      </c>
      <c r="E188" s="71">
        <f>((C130*(1-'5.Closing Stock &amp; W Capital'!$D$16))+(B130*'5.Closing Stock &amp; W Capital'!$D$16))*$C188*E$172</f>
        <v>0</v>
      </c>
      <c r="F188" s="71">
        <f>((D130*(1-'5.Closing Stock &amp; W Capital'!$D$16))+(C130*'5.Closing Stock &amp; W Capital'!$D$16))*$C188*F$172</f>
        <v>0</v>
      </c>
      <c r="G188" s="71">
        <f>((E130*(1-'5.Closing Stock &amp; W Capital'!$D$16))+(D130*'5.Closing Stock &amp; W Capital'!$D$16))*$C188*G$172</f>
        <v>0</v>
      </c>
      <c r="H188" s="71">
        <f>((F130*(1-'5.Closing Stock &amp; W Capital'!$D$16))+(E130*'5.Closing Stock &amp; W Capital'!$D$16))*$C188*H$172</f>
        <v>0</v>
      </c>
      <c r="I188" s="71">
        <f>((G130*(1-'5.Closing Stock &amp; W Capital'!$D$16))+(F130*'5.Closing Stock &amp; W Capital'!$D$16))*$C188*I$172</f>
        <v>0</v>
      </c>
      <c r="J188" s="71">
        <f>((H130*(1-'5.Closing Stock &amp; W Capital'!$D$16))+(G130*'5.Closing Stock &amp; W Capital'!$D$16))*$C188*J$172</f>
        <v>0</v>
      </c>
    </row>
    <row r="189" spans="1:10" hidden="1">
      <c r="A189" s="9" t="str">
        <f t="shared" si="32"/>
        <v>Jawar</v>
      </c>
      <c r="B189" s="9" t="s">
        <v>574</v>
      </c>
      <c r="C189" s="17"/>
      <c r="D189" s="71">
        <f>(B131*(1-'5.Closing Stock &amp; W Capital'!$D$16))*$C189*D$172</f>
        <v>0</v>
      </c>
      <c r="E189" s="71">
        <f>((C131*(1-'5.Closing Stock &amp; W Capital'!$D$16))+(B131*'5.Closing Stock &amp; W Capital'!$D$16))*$C189*E$172</f>
        <v>0</v>
      </c>
      <c r="F189" s="71">
        <f>((D131*(1-'5.Closing Stock &amp; W Capital'!$D$16))+(C131*'5.Closing Stock &amp; W Capital'!$D$16))*$C189*F$172</f>
        <v>0</v>
      </c>
      <c r="G189" s="71">
        <f>((E131*(1-'5.Closing Stock &amp; W Capital'!$D$16))+(D131*'5.Closing Stock &amp; W Capital'!$D$16))*$C189*G$172</f>
        <v>0</v>
      </c>
      <c r="H189" s="71">
        <f>((F131*(1-'5.Closing Stock &amp; W Capital'!$D$16))+(E131*'5.Closing Stock &amp; W Capital'!$D$16))*$C189*H$172</f>
        <v>0</v>
      </c>
      <c r="I189" s="71">
        <f>((G131*(1-'5.Closing Stock &amp; W Capital'!$D$16))+(F131*'5.Closing Stock &amp; W Capital'!$D$16))*$C189*I$172</f>
        <v>0</v>
      </c>
      <c r="J189" s="71">
        <f>((H131*(1-'5.Closing Stock &amp; W Capital'!$D$16))+(G131*'5.Closing Stock &amp; W Capital'!$D$16))*$C189*J$172</f>
        <v>0</v>
      </c>
    </row>
    <row r="190" spans="1:10" hidden="1">
      <c r="A190" s="9" t="str">
        <f t="shared" si="32"/>
        <v>Maize</v>
      </c>
      <c r="B190" s="9" t="s">
        <v>574</v>
      </c>
      <c r="C190" s="17"/>
      <c r="D190" s="71">
        <f>(B132*(1-'5.Closing Stock &amp; W Capital'!$D$16))*$C190*D$172</f>
        <v>0</v>
      </c>
      <c r="E190" s="71">
        <f>((C132*(1-'5.Closing Stock &amp; W Capital'!$D$16))+(B132*'5.Closing Stock &amp; W Capital'!$D$16))*$C190*E$172</f>
        <v>0</v>
      </c>
      <c r="F190" s="71">
        <f>((D132*(1-'5.Closing Stock &amp; W Capital'!$D$16))+(C132*'5.Closing Stock &amp; W Capital'!$D$16))*$C190*F$172</f>
        <v>0</v>
      </c>
      <c r="G190" s="71">
        <f>((E132*(1-'5.Closing Stock &amp; W Capital'!$D$16))+(D132*'5.Closing Stock &amp; W Capital'!$D$16))*$C190*G$172</f>
        <v>0</v>
      </c>
      <c r="H190" s="71">
        <f>((F132*(1-'5.Closing Stock &amp; W Capital'!$D$16))+(E132*'5.Closing Stock &amp; W Capital'!$D$16))*$C190*H$172</f>
        <v>0</v>
      </c>
      <c r="I190" s="71">
        <f>((G132*(1-'5.Closing Stock &amp; W Capital'!$D$16))+(F132*'5.Closing Stock &amp; W Capital'!$D$16))*$C190*I$172</f>
        <v>0</v>
      </c>
      <c r="J190" s="71">
        <f>((H132*(1-'5.Closing Stock &amp; W Capital'!$D$16))+(G132*'5.Closing Stock &amp; W Capital'!$D$16))*$C190*J$172</f>
        <v>0</v>
      </c>
    </row>
    <row r="191" spans="1:10" hidden="1">
      <c r="A191" s="9" t="str">
        <f t="shared" si="32"/>
        <v>Safflower</v>
      </c>
      <c r="B191" s="9" t="s">
        <v>574</v>
      </c>
      <c r="C191" s="17"/>
      <c r="D191" s="71">
        <f>(B133*(1-'5.Closing Stock &amp; W Capital'!$D$16))*$C191*D$172</f>
        <v>0</v>
      </c>
      <c r="E191" s="71">
        <f>((C133*(1-'5.Closing Stock &amp; W Capital'!$D$16))+(B133*'5.Closing Stock &amp; W Capital'!$D$16))*$C191*E$172</f>
        <v>0</v>
      </c>
      <c r="F191" s="71">
        <f>((D133*(1-'5.Closing Stock &amp; W Capital'!$D$16))+(C133*'5.Closing Stock &amp; W Capital'!$D$16))*$C191*F$172</f>
        <v>0</v>
      </c>
      <c r="G191" s="71">
        <f>((E133*(1-'5.Closing Stock &amp; W Capital'!$D$16))+(D133*'5.Closing Stock &amp; W Capital'!$D$16))*$C191*G$172</f>
        <v>0</v>
      </c>
      <c r="H191" s="71">
        <f>((F133*(1-'5.Closing Stock &amp; W Capital'!$D$16))+(E133*'5.Closing Stock &amp; W Capital'!$D$16))*$C191*H$172</f>
        <v>0</v>
      </c>
      <c r="I191" s="71">
        <f>((G133*(1-'5.Closing Stock &amp; W Capital'!$D$16))+(F133*'5.Closing Stock &amp; W Capital'!$D$16))*$C191*I$172</f>
        <v>0</v>
      </c>
      <c r="J191" s="71">
        <f>((H133*(1-'5.Closing Stock &amp; W Capital'!$D$16))+(G133*'5.Closing Stock &amp; W Capital'!$D$16))*$C191*J$172</f>
        <v>0</v>
      </c>
    </row>
    <row r="192" spans="1:10" hidden="1">
      <c r="A192" s="9">
        <f t="shared" si="32"/>
        <v>0</v>
      </c>
      <c r="B192" s="9" t="s">
        <v>574</v>
      </c>
      <c r="C192" s="17"/>
      <c r="D192" s="71">
        <f>(B134*(1-'5.Closing Stock &amp; W Capital'!$D$16))*$C192*D$172</f>
        <v>0</v>
      </c>
      <c r="E192" s="71">
        <f>((C134*(1-'5.Closing Stock &amp; W Capital'!$D$16))+(B134*'5.Closing Stock &amp; W Capital'!$D$16))*$C192*E$172</f>
        <v>0</v>
      </c>
      <c r="F192" s="71">
        <f>((D134*(1-'5.Closing Stock &amp; W Capital'!$D$16))+(C134*'5.Closing Stock &amp; W Capital'!$D$16))*$C192*F$172</f>
        <v>0</v>
      </c>
      <c r="G192" s="71">
        <f>((E134*(1-'5.Closing Stock &amp; W Capital'!$D$16))+(D134*'5.Closing Stock &amp; W Capital'!$D$16))*$C192*G$172</f>
        <v>0</v>
      </c>
      <c r="H192" s="71">
        <f>((F134*(1-'5.Closing Stock &amp; W Capital'!$D$16))+(E134*'5.Closing Stock &amp; W Capital'!$D$16))*$C192*H$172</f>
        <v>0</v>
      </c>
      <c r="I192" s="71">
        <f>((G134*(1-'5.Closing Stock &amp; W Capital'!$D$16))+(F134*'5.Closing Stock &amp; W Capital'!$D$16))*$C192*I$172</f>
        <v>0</v>
      </c>
      <c r="J192" s="71">
        <f>((H134*(1-'5.Closing Stock &amp; W Capital'!$D$16))+(G134*'5.Closing Stock &amp; W Capital'!$D$16))*$C192*J$172</f>
        <v>0</v>
      </c>
    </row>
    <row r="193" spans="1:10" hidden="1">
      <c r="A193" s="9">
        <f t="shared" si="32"/>
        <v>0</v>
      </c>
      <c r="B193" s="9" t="s">
        <v>574</v>
      </c>
      <c r="C193" s="17"/>
      <c r="D193" s="71">
        <f>(B135*(1-'5.Closing Stock &amp; W Capital'!$D$16))*$C193*D$172</f>
        <v>0</v>
      </c>
      <c r="E193" s="71">
        <f>((C135*(1-'5.Closing Stock &amp; W Capital'!$D$16))+(B135*'5.Closing Stock &amp; W Capital'!$D$16))*$C193*E$172</f>
        <v>0</v>
      </c>
      <c r="F193" s="71">
        <f>((D135*(1-'5.Closing Stock &amp; W Capital'!$D$16))+(C135*'5.Closing Stock &amp; W Capital'!$D$16))*$C193*F$172</f>
        <v>0</v>
      </c>
      <c r="G193" s="71">
        <f>((E135*(1-'5.Closing Stock &amp; W Capital'!$D$16))+(D135*'5.Closing Stock &amp; W Capital'!$D$16))*$C193*G$172</f>
        <v>0</v>
      </c>
      <c r="H193" s="71">
        <f>((F135*(1-'5.Closing Stock &amp; W Capital'!$D$16))+(E135*'5.Closing Stock &amp; W Capital'!$D$16))*$C193*H$172</f>
        <v>0</v>
      </c>
      <c r="I193" s="71">
        <f>((G135*(1-'5.Closing Stock &amp; W Capital'!$D$16))+(F135*'5.Closing Stock &amp; W Capital'!$D$16))*$C193*I$172</f>
        <v>0</v>
      </c>
      <c r="J193" s="71">
        <f>((H135*(1-'5.Closing Stock &amp; W Capital'!$D$16))+(G135*'5.Closing Stock &amp; W Capital'!$D$16))*$C193*J$172</f>
        <v>0</v>
      </c>
    </row>
    <row r="194" spans="1:10" hidden="1">
      <c r="A194" s="9">
        <f t="shared" si="32"/>
        <v>0</v>
      </c>
      <c r="B194" s="9" t="s">
        <v>574</v>
      </c>
      <c r="C194" s="17"/>
      <c r="D194" s="71">
        <f>(B136*(1-'5.Closing Stock &amp; W Capital'!$D$16))*$C194*D$172</f>
        <v>0</v>
      </c>
      <c r="E194" s="71">
        <f>((C136*(1-'5.Closing Stock &amp; W Capital'!$D$16))+(B136*'5.Closing Stock &amp; W Capital'!$D$16))*$C194*E$172</f>
        <v>0</v>
      </c>
      <c r="F194" s="71">
        <f>((D136*(1-'5.Closing Stock &amp; W Capital'!$D$16))+(C136*'5.Closing Stock &amp; W Capital'!$D$16))*$C194*F$172</f>
        <v>0</v>
      </c>
      <c r="G194" s="71">
        <f>((E136*(1-'5.Closing Stock &amp; W Capital'!$D$16))+(D136*'5.Closing Stock &amp; W Capital'!$D$16))*$C194*G$172</f>
        <v>0</v>
      </c>
      <c r="H194" s="71">
        <f>((F136*(1-'5.Closing Stock &amp; W Capital'!$D$16))+(E136*'5.Closing Stock &amp; W Capital'!$D$16))*$C194*H$172</f>
        <v>0</v>
      </c>
      <c r="I194" s="71">
        <f>((G136*(1-'5.Closing Stock &amp; W Capital'!$D$16))+(F136*'5.Closing Stock &amp; W Capital'!$D$16))*$C194*I$172</f>
        <v>0</v>
      </c>
      <c r="J194" s="71">
        <f>((H136*(1-'5.Closing Stock &amp; W Capital'!$D$16))+(G136*'5.Closing Stock &amp; W Capital'!$D$16))*$C194*J$172</f>
        <v>0</v>
      </c>
    </row>
    <row r="195" spans="1:10" hidden="1">
      <c r="A195" s="9" t="str">
        <f t="shared" si="32"/>
        <v>Groundnut</v>
      </c>
      <c r="B195" s="9" t="s">
        <v>574</v>
      </c>
      <c r="C195" s="17"/>
      <c r="D195" s="71">
        <f>(B137*(1-'5.Closing Stock &amp; W Capital'!$D$16))*$C195*D$172</f>
        <v>0</v>
      </c>
      <c r="E195" s="71">
        <f>((C137*(1-'5.Closing Stock &amp; W Capital'!$D$16))+(B137*'5.Closing Stock &amp; W Capital'!$D$16))*$C195*E$172</f>
        <v>0</v>
      </c>
      <c r="F195" s="71">
        <f>((D137*(1-'5.Closing Stock &amp; W Capital'!$D$16))+(C137*'5.Closing Stock &amp; W Capital'!$D$16))*$C195*F$172</f>
        <v>0</v>
      </c>
      <c r="G195" s="71">
        <f>((E137*(1-'5.Closing Stock &amp; W Capital'!$D$16))+(D137*'5.Closing Stock &amp; W Capital'!$D$16))*$C195*G$172</f>
        <v>0</v>
      </c>
      <c r="H195" s="71">
        <f>((F137*(1-'5.Closing Stock &amp; W Capital'!$D$16))+(E137*'5.Closing Stock &amp; W Capital'!$D$16))*$C195*H$172</f>
        <v>0</v>
      </c>
      <c r="I195" s="71">
        <f>((G137*(1-'5.Closing Stock &amp; W Capital'!$D$16))+(F137*'5.Closing Stock &amp; W Capital'!$D$16))*$C195*I$172</f>
        <v>0</v>
      </c>
      <c r="J195" s="71">
        <f>((H137*(1-'5.Closing Stock &amp; W Capital'!$D$16))+(G137*'5.Closing Stock &amp; W Capital'!$D$16))*$C195*J$172</f>
        <v>0</v>
      </c>
    </row>
    <row r="196" spans="1:10" hidden="1">
      <c r="A196" s="9">
        <f t="shared" si="32"/>
        <v>0</v>
      </c>
      <c r="B196" s="9" t="s">
        <v>574</v>
      </c>
      <c r="C196" s="17"/>
      <c r="D196" s="71">
        <f>(B138*(1-'5.Closing Stock &amp; W Capital'!$D$16))*$C196*D$172</f>
        <v>0</v>
      </c>
      <c r="E196" s="71">
        <f>((C138*(1-'5.Closing Stock &amp; W Capital'!$D$16))+(B138*'5.Closing Stock &amp; W Capital'!$D$16))*$C196*E$172</f>
        <v>0</v>
      </c>
      <c r="F196" s="71">
        <f>((D138*(1-'5.Closing Stock &amp; W Capital'!$D$16))+(C138*'5.Closing Stock &amp; W Capital'!$D$16))*$C196*F$172</f>
        <v>0</v>
      </c>
      <c r="G196" s="71">
        <f>((E138*(1-'5.Closing Stock &amp; W Capital'!$D$16))+(D138*'5.Closing Stock &amp; W Capital'!$D$16))*$C196*G$172</f>
        <v>0</v>
      </c>
      <c r="H196" s="71">
        <f>((F138*(1-'5.Closing Stock &amp; W Capital'!$D$16))+(E138*'5.Closing Stock &amp; W Capital'!$D$16))*$C196*H$172</f>
        <v>0</v>
      </c>
      <c r="I196" s="71">
        <f>((G138*(1-'5.Closing Stock &amp; W Capital'!$D$16))+(F138*'5.Closing Stock &amp; W Capital'!$D$16))*$C196*I$172</f>
        <v>0</v>
      </c>
      <c r="J196" s="71">
        <f>((H138*(1-'5.Closing Stock &amp; W Capital'!$D$16))+(G138*'5.Closing Stock &amp; W Capital'!$D$16))*$C196*J$172</f>
        <v>0</v>
      </c>
    </row>
    <row r="197" spans="1:10" hidden="1">
      <c r="A197" s="9">
        <f t="shared" si="32"/>
        <v>0</v>
      </c>
      <c r="B197" s="9" t="s">
        <v>574</v>
      </c>
      <c r="C197" s="17"/>
      <c r="D197" s="71">
        <f>(B139*(1-'5.Closing Stock &amp; W Capital'!$D$16))*$C197*D$172</f>
        <v>0</v>
      </c>
      <c r="E197" s="71">
        <f>((C139*(1-'5.Closing Stock &amp; W Capital'!$D$16))+(B139*'5.Closing Stock &amp; W Capital'!$D$16))*$C197*E$172</f>
        <v>0</v>
      </c>
      <c r="F197" s="71">
        <f>((D139*(1-'5.Closing Stock &amp; W Capital'!$D$16))+(C139*'5.Closing Stock &amp; W Capital'!$D$16))*$C197*F$172</f>
        <v>0</v>
      </c>
      <c r="G197" s="71">
        <f>((E139*(1-'5.Closing Stock &amp; W Capital'!$D$16))+(D139*'5.Closing Stock &amp; W Capital'!$D$16))*$C197*G$172</f>
        <v>0</v>
      </c>
      <c r="H197" s="71">
        <f>((F139*(1-'5.Closing Stock &amp; W Capital'!$D$16))+(E139*'5.Closing Stock &amp; W Capital'!$D$16))*$C197*H$172</f>
        <v>0</v>
      </c>
      <c r="I197" s="71">
        <f>((G139*(1-'5.Closing Stock &amp; W Capital'!$D$16))+(F139*'5.Closing Stock &amp; W Capital'!$D$16))*$C197*I$172</f>
        <v>0</v>
      </c>
      <c r="J197" s="71">
        <f>((H139*(1-'5.Closing Stock &amp; W Capital'!$D$16))+(G139*'5.Closing Stock &amp; W Capital'!$D$16))*$C197*J$172</f>
        <v>0</v>
      </c>
    </row>
    <row r="198" spans="1:10" hidden="1">
      <c r="A198" s="9">
        <f t="shared" si="32"/>
        <v>0</v>
      </c>
      <c r="B198" s="9" t="s">
        <v>574</v>
      </c>
      <c r="C198" s="17"/>
      <c r="D198" s="71">
        <f>(B140*(1-'5.Closing Stock &amp; W Capital'!$D$16))*$C198*D$172</f>
        <v>0</v>
      </c>
      <c r="E198" s="71">
        <f>((C140*(1-'5.Closing Stock &amp; W Capital'!$D$16))+(B140*'5.Closing Stock &amp; W Capital'!$D$16))*$C198*E$172</f>
        <v>0</v>
      </c>
      <c r="F198" s="71">
        <f>((D140*(1-'5.Closing Stock &amp; W Capital'!$D$16))+(C140*'5.Closing Stock &amp; W Capital'!$D$16))*$C198*F$172</f>
        <v>0</v>
      </c>
      <c r="G198" s="71">
        <f>((E140*(1-'5.Closing Stock &amp; W Capital'!$D$16))+(D140*'5.Closing Stock &amp; W Capital'!$D$16))*$C198*G$172</f>
        <v>0</v>
      </c>
      <c r="H198" s="71">
        <f>((F140*(1-'5.Closing Stock &amp; W Capital'!$D$16))+(E140*'5.Closing Stock &amp; W Capital'!$D$16))*$C198*H$172</f>
        <v>0</v>
      </c>
      <c r="I198" s="71">
        <f>((G140*(1-'5.Closing Stock &amp; W Capital'!$D$16))+(F140*'5.Closing Stock &amp; W Capital'!$D$16))*$C198*I$172</f>
        <v>0</v>
      </c>
      <c r="J198" s="71">
        <f>((H140*(1-'5.Closing Stock &amp; W Capital'!$D$16))+(G140*'5.Closing Stock &amp; W Capital'!$D$16))*$C198*J$172</f>
        <v>0</v>
      </c>
    </row>
    <row r="199" spans="1:10" hidden="1">
      <c r="A199" s="9"/>
      <c r="B199" s="9" t="s">
        <v>574</v>
      </c>
      <c r="C199" s="17"/>
      <c r="D199" s="71">
        <f>(B141*(1-'5.Closing Stock &amp; W Capital'!$D$16))*$C199*D$172</f>
        <v>0</v>
      </c>
      <c r="E199" s="71">
        <f>((C141*(1-'5.Closing Stock &amp; W Capital'!$D$16))+(B141*'5.Closing Stock &amp; W Capital'!$D$16))*$C199*E$172</f>
        <v>0</v>
      </c>
      <c r="F199" s="71">
        <f>((D141*(1-'5.Closing Stock &amp; W Capital'!$D$16))+(C141*'5.Closing Stock &amp; W Capital'!$D$16))*$C199*F$172</f>
        <v>0</v>
      </c>
      <c r="G199" s="71">
        <f>((E141*(1-'5.Closing Stock &amp; W Capital'!$D$16))+(D141*'5.Closing Stock &amp; W Capital'!$D$16))*$C199*G$172</f>
        <v>0</v>
      </c>
      <c r="H199" s="71">
        <f>((F141*(1-'5.Closing Stock &amp; W Capital'!$D$16))+(E141*'5.Closing Stock &amp; W Capital'!$D$16))*$C199*H$172</f>
        <v>0</v>
      </c>
      <c r="I199" s="71">
        <f>((G141*(1-'5.Closing Stock &amp; W Capital'!$D$16))+(F141*'5.Closing Stock &amp; W Capital'!$D$16))*$C199*I$172</f>
        <v>0</v>
      </c>
      <c r="J199" s="71">
        <f>((H141*(1-'5.Closing Stock &amp; W Capital'!$D$16))+(G141*'5.Closing Stock &amp; W Capital'!$D$16))*$C199*J$172</f>
        <v>0</v>
      </c>
    </row>
    <row r="200" spans="1:10" hidden="1">
      <c r="A200" s="16" t="s">
        <v>575</v>
      </c>
      <c r="B200" s="9" t="s">
        <v>574</v>
      </c>
      <c r="C200" s="50">
        <v>50</v>
      </c>
      <c r="D200" s="71">
        <f t="shared" ref="D200:J200" si="33">B65*$C$200*D172</f>
        <v>0</v>
      </c>
      <c r="E200" s="71">
        <f t="shared" si="33"/>
        <v>0</v>
      </c>
      <c r="F200" s="71">
        <f t="shared" si="33"/>
        <v>0</v>
      </c>
      <c r="G200" s="71">
        <f t="shared" si="33"/>
        <v>0</v>
      </c>
      <c r="H200" s="71">
        <f t="shared" si="33"/>
        <v>0</v>
      </c>
      <c r="I200" s="71">
        <f t="shared" si="33"/>
        <v>0</v>
      </c>
      <c r="J200" s="71">
        <f t="shared" si="33"/>
        <v>0</v>
      </c>
    </row>
    <row r="201" spans="1:10" hidden="1">
      <c r="A201" s="16"/>
      <c r="B201" s="16"/>
      <c r="C201" s="16"/>
      <c r="D201" s="9"/>
      <c r="E201" s="9"/>
      <c r="F201" s="9"/>
      <c r="G201" s="9"/>
      <c r="H201" s="9"/>
      <c r="I201" s="9"/>
      <c r="J201" s="9"/>
    </row>
    <row r="202" spans="1:10" hidden="1">
      <c r="A202" s="16" t="str">
        <f t="shared" ref="A202:A220" si="34">A143</f>
        <v>Fruit  &amp; Vegetables Crop Production Details</v>
      </c>
      <c r="B202" s="16"/>
      <c r="C202" s="16"/>
      <c r="D202" s="9"/>
      <c r="E202" s="9"/>
      <c r="F202" s="9"/>
      <c r="G202" s="9"/>
      <c r="H202" s="9"/>
      <c r="I202" s="9"/>
      <c r="J202" s="9"/>
    </row>
    <row r="203" spans="1:10" hidden="1">
      <c r="A203" s="16" t="str">
        <f t="shared" si="34"/>
        <v>Onion</v>
      </c>
      <c r="B203" s="9" t="s">
        <v>574</v>
      </c>
      <c r="C203" s="72">
        <v>2000</v>
      </c>
      <c r="D203" s="71">
        <f>(B144*(1-'5.Closing Stock &amp; W Capital'!$D$16))*$C203*D$172</f>
        <v>0</v>
      </c>
      <c r="E203" s="71">
        <f>((C144*(1-'5.Closing Stock &amp; W Capital'!$D$16))+(B144*'5.Closing Stock &amp; W Capital'!$D$16))*$C203*E$172</f>
        <v>0</v>
      </c>
      <c r="F203" s="71">
        <f>((D144*(1-'5.Closing Stock &amp; W Capital'!$D$16))+(C144*'5.Closing Stock &amp; W Capital'!$D$16))*$C203*F$172</f>
        <v>0</v>
      </c>
      <c r="G203" s="71">
        <f>((E144*(1-'5.Closing Stock &amp; W Capital'!$D$16))+(D144*'5.Closing Stock &amp; W Capital'!$D$16))*$C203*G$172</f>
        <v>0</v>
      </c>
      <c r="H203" s="71">
        <f>((F144*(1-'5.Closing Stock &amp; W Capital'!$D$16))+(E144*'5.Closing Stock &amp; W Capital'!$D$16))*$C203*H$172</f>
        <v>0</v>
      </c>
      <c r="I203" s="71">
        <f>((G144*(1-'5.Closing Stock &amp; W Capital'!$D$16))+(F144*'5.Closing Stock &amp; W Capital'!$D$16))*$C203*I$172</f>
        <v>0</v>
      </c>
      <c r="J203" s="71">
        <f>((H144*(1-'5.Closing Stock &amp; W Capital'!$D$16))+(G144*'5.Closing Stock &amp; W Capital'!$D$16))*$C203*J$172</f>
        <v>0</v>
      </c>
    </row>
    <row r="204" spans="1:10" hidden="1">
      <c r="A204" s="16" t="str">
        <f t="shared" si="34"/>
        <v>Tomato</v>
      </c>
      <c r="B204" s="9" t="s">
        <v>574</v>
      </c>
      <c r="C204" s="17">
        <v>1000</v>
      </c>
      <c r="D204" s="71">
        <f>(B145*(1-'5.Closing Stock &amp; W Capital'!$D$16))*$C204*D$172</f>
        <v>0</v>
      </c>
      <c r="E204" s="71">
        <f>((C145*(1-'5.Closing Stock &amp; W Capital'!$D$16))+(B145*'5.Closing Stock &amp; W Capital'!$D$16))*$C204*E$172</f>
        <v>0</v>
      </c>
      <c r="F204" s="71">
        <f>((D145*(1-'5.Closing Stock &amp; W Capital'!$D$16))+(C145*'5.Closing Stock &amp; W Capital'!$D$16))*$C204*F$172</f>
        <v>0</v>
      </c>
      <c r="G204" s="71">
        <f>((E145*(1-'5.Closing Stock &amp; W Capital'!$D$16))+(D145*'5.Closing Stock &amp; W Capital'!$D$16))*$C204*G$172</f>
        <v>0</v>
      </c>
      <c r="H204" s="71">
        <f>((F145*(1-'5.Closing Stock &amp; W Capital'!$D$16))+(E145*'5.Closing Stock &amp; W Capital'!$D$16))*$C204*H$172</f>
        <v>0</v>
      </c>
      <c r="I204" s="71">
        <f>((G145*(1-'5.Closing Stock &amp; W Capital'!$D$16))+(F145*'5.Closing Stock &amp; W Capital'!$D$16))*$C204*I$172</f>
        <v>0</v>
      </c>
      <c r="J204" s="71">
        <f>((H145*(1-'5.Closing Stock &amp; W Capital'!$D$16))+(G145*'5.Closing Stock &amp; W Capital'!$D$16))*$C204*J$172</f>
        <v>0</v>
      </c>
    </row>
    <row r="205" spans="1:10" hidden="1">
      <c r="A205" s="16" t="str">
        <f t="shared" si="34"/>
        <v>Okra</v>
      </c>
      <c r="B205" s="9" t="s">
        <v>574</v>
      </c>
      <c r="C205" s="17">
        <v>1500</v>
      </c>
      <c r="D205" s="71">
        <f>(B146*(1-'5.Closing Stock &amp; W Capital'!$D$16))*$C205*D$172</f>
        <v>0</v>
      </c>
      <c r="E205" s="71">
        <f>((C146*(1-'5.Closing Stock &amp; W Capital'!$D$16))+(B146*'5.Closing Stock &amp; W Capital'!$D$16))*$C205*E$172</f>
        <v>0</v>
      </c>
      <c r="F205" s="71">
        <f>((D146*(1-'5.Closing Stock &amp; W Capital'!$D$16))+(C146*'5.Closing Stock &amp; W Capital'!$D$16))*$C205*F$172</f>
        <v>0</v>
      </c>
      <c r="G205" s="71">
        <f>((E146*(1-'5.Closing Stock &amp; W Capital'!$D$16))+(D146*'5.Closing Stock &amp; W Capital'!$D$16))*$C205*G$172</f>
        <v>0</v>
      </c>
      <c r="H205" s="71">
        <f>((F146*(1-'5.Closing Stock &amp; W Capital'!$D$16))+(E146*'5.Closing Stock &amp; W Capital'!$D$16))*$C205*H$172</f>
        <v>0</v>
      </c>
      <c r="I205" s="71">
        <f>((G146*(1-'5.Closing Stock &amp; W Capital'!$D$16))+(F146*'5.Closing Stock &amp; W Capital'!$D$16))*$C205*I$172</f>
        <v>0</v>
      </c>
      <c r="J205" s="71">
        <f>((H146*(1-'5.Closing Stock &amp; W Capital'!$D$16))+(G146*'5.Closing Stock &amp; W Capital'!$D$16))*$C205*J$172</f>
        <v>0</v>
      </c>
    </row>
    <row r="206" spans="1:10" hidden="1">
      <c r="A206" s="16" t="str">
        <f t="shared" si="34"/>
        <v>Chilli</v>
      </c>
      <c r="B206" s="9" t="s">
        <v>574</v>
      </c>
      <c r="C206" s="17">
        <v>3000</v>
      </c>
      <c r="D206" s="71">
        <f>(B147*(1-'5.Closing Stock &amp; W Capital'!$D$16))*$C206*D$172</f>
        <v>0</v>
      </c>
      <c r="E206" s="71">
        <f>((C147*(1-'5.Closing Stock &amp; W Capital'!$D$16))+(B147*'5.Closing Stock &amp; W Capital'!$D$16))*$C206*E$172</f>
        <v>0</v>
      </c>
      <c r="F206" s="71">
        <f>((D147*(1-'5.Closing Stock &amp; W Capital'!$D$16))+(C147*'5.Closing Stock &amp; W Capital'!$D$16))*$C206*F$172</f>
        <v>0</v>
      </c>
      <c r="G206" s="71">
        <f>((E147*(1-'5.Closing Stock &amp; W Capital'!$D$16))+(D147*'5.Closing Stock &amp; W Capital'!$D$16))*$C206*G$172</f>
        <v>0</v>
      </c>
      <c r="H206" s="71">
        <f>((F147*(1-'5.Closing Stock &amp; W Capital'!$D$16))+(E147*'5.Closing Stock &amp; W Capital'!$D$16))*$C206*H$172</f>
        <v>0</v>
      </c>
      <c r="I206" s="71">
        <f>((G147*(1-'5.Closing Stock &amp; W Capital'!$D$16))+(F147*'5.Closing Stock &amp; W Capital'!$D$16))*$C206*I$172</f>
        <v>0</v>
      </c>
      <c r="J206" s="71">
        <f>((H147*(1-'5.Closing Stock &amp; W Capital'!$D$16))+(G147*'5.Closing Stock &amp; W Capital'!$D$16))*$C206*J$172</f>
        <v>0</v>
      </c>
    </row>
    <row r="207" spans="1:10" hidden="1">
      <c r="A207" s="16" t="str">
        <f t="shared" si="34"/>
        <v>Potato</v>
      </c>
      <c r="B207" s="9" t="s">
        <v>574</v>
      </c>
      <c r="C207" s="17">
        <v>1500</v>
      </c>
      <c r="D207" s="71">
        <f>(B148*(1-'5.Closing Stock &amp; W Capital'!$D$16))*$C207*D$172</f>
        <v>0</v>
      </c>
      <c r="E207" s="71">
        <f>((C148*(1-'5.Closing Stock &amp; W Capital'!$D$16))+(B148*'5.Closing Stock &amp; W Capital'!$D$16))*$C207*E$172</f>
        <v>0</v>
      </c>
      <c r="F207" s="71">
        <f>((D148*(1-'5.Closing Stock &amp; W Capital'!$D$16))+(C148*'5.Closing Stock &amp; W Capital'!$D$16))*$C207*F$172</f>
        <v>0</v>
      </c>
      <c r="G207" s="71">
        <f>((E148*(1-'5.Closing Stock &amp; W Capital'!$D$16))+(D148*'5.Closing Stock &amp; W Capital'!$D$16))*$C207*G$172</f>
        <v>0</v>
      </c>
      <c r="H207" s="71">
        <f>((F148*(1-'5.Closing Stock &amp; W Capital'!$D$16))+(E148*'5.Closing Stock &amp; W Capital'!$D$16))*$C207*H$172</f>
        <v>0</v>
      </c>
      <c r="I207" s="71">
        <f>((G148*(1-'5.Closing Stock &amp; W Capital'!$D$16))+(F148*'5.Closing Stock &amp; W Capital'!$D$16))*$C207*I$172</f>
        <v>0</v>
      </c>
      <c r="J207" s="71">
        <f>((H148*(1-'5.Closing Stock &amp; W Capital'!$D$16))+(G148*'5.Closing Stock &amp; W Capital'!$D$16))*$C207*J$172</f>
        <v>0</v>
      </c>
    </row>
    <row r="208" spans="1:10" hidden="1">
      <c r="A208" s="16">
        <f t="shared" si="34"/>
        <v>0</v>
      </c>
      <c r="B208" s="9" t="s">
        <v>574</v>
      </c>
      <c r="C208" s="50"/>
      <c r="D208" s="71">
        <f>(B149*(1-'5.Closing Stock &amp; W Capital'!$D$16))*$C208*D$172</f>
        <v>0</v>
      </c>
      <c r="E208" s="71">
        <f>((C149*(1-'5.Closing Stock &amp; W Capital'!$D$16))+(B149*'5.Closing Stock &amp; W Capital'!$D$16))*$C208*E$172</f>
        <v>0</v>
      </c>
      <c r="F208" s="71">
        <f>((D149*(1-'5.Closing Stock &amp; W Capital'!$D$16))+(C149*'5.Closing Stock &amp; W Capital'!$D$16))*$C208*F$172</f>
        <v>0</v>
      </c>
      <c r="G208" s="71">
        <f>((E149*(1-'5.Closing Stock &amp; W Capital'!$D$16))+(D149*'5.Closing Stock &amp; W Capital'!$D$16))*$C208*G$172</f>
        <v>0</v>
      </c>
      <c r="H208" s="71">
        <f>((F149*(1-'5.Closing Stock &amp; W Capital'!$D$16))+(E149*'5.Closing Stock &amp; W Capital'!$D$16))*$C208*H$172</f>
        <v>0</v>
      </c>
      <c r="I208" s="71">
        <f>((G149*(1-'5.Closing Stock &amp; W Capital'!$D$16))+(F149*'5.Closing Stock &amp; W Capital'!$D$16))*$C208*I$172</f>
        <v>0</v>
      </c>
      <c r="J208" s="71">
        <f>((H149*(1-'5.Closing Stock &amp; W Capital'!$D$16))+(G149*'5.Closing Stock &amp; W Capital'!$D$16))*$C208*J$172</f>
        <v>0</v>
      </c>
    </row>
    <row r="209" spans="1:10" hidden="1">
      <c r="A209" s="16">
        <f t="shared" si="34"/>
        <v>0</v>
      </c>
      <c r="B209" s="9" t="s">
        <v>574</v>
      </c>
      <c r="C209" s="50"/>
      <c r="D209" s="71">
        <f>(B150*(1-'5.Closing Stock &amp; W Capital'!$D$16))*$C209*D$172</f>
        <v>0</v>
      </c>
      <c r="E209" s="71">
        <f>((C150*(1-'5.Closing Stock &amp; W Capital'!$D$16))+(B150*'5.Closing Stock &amp; W Capital'!$D$16))*$C209*E$172</f>
        <v>0</v>
      </c>
      <c r="F209" s="71">
        <f>((D150*(1-'5.Closing Stock &amp; W Capital'!$D$16))+(C150*'5.Closing Stock &amp; W Capital'!$D$16))*$C209*F$172</f>
        <v>0</v>
      </c>
      <c r="G209" s="71">
        <f>((E150*(1-'5.Closing Stock &amp; W Capital'!$D$16))+(D150*'5.Closing Stock &amp; W Capital'!$D$16))*$C209*G$172</f>
        <v>0</v>
      </c>
      <c r="H209" s="71">
        <f>((F150*(1-'5.Closing Stock &amp; W Capital'!$D$16))+(E150*'5.Closing Stock &amp; W Capital'!$D$16))*$C209*H$172</f>
        <v>0</v>
      </c>
      <c r="I209" s="71">
        <f>((G150*(1-'5.Closing Stock &amp; W Capital'!$D$16))+(F150*'5.Closing Stock &amp; W Capital'!$D$16))*$C209*I$172</f>
        <v>0</v>
      </c>
      <c r="J209" s="71">
        <f>((H150*(1-'5.Closing Stock &amp; W Capital'!$D$16))+(G150*'5.Closing Stock &amp; W Capital'!$D$16))*$C209*J$172</f>
        <v>0</v>
      </c>
    </row>
    <row r="210" spans="1:10" hidden="1">
      <c r="A210" s="16">
        <f t="shared" si="34"/>
        <v>0</v>
      </c>
      <c r="B210" s="9" t="s">
        <v>574</v>
      </c>
      <c r="C210" s="50"/>
      <c r="D210" s="71">
        <f>(B151*(1-'5.Closing Stock &amp; W Capital'!$D$16))*$C210*D$172</f>
        <v>0</v>
      </c>
      <c r="E210" s="71">
        <f>((C151*(1-'5.Closing Stock &amp; W Capital'!$D$16))+(B151*'5.Closing Stock &amp; W Capital'!$D$16))*$C210*E$172</f>
        <v>0</v>
      </c>
      <c r="F210" s="71">
        <f>((D151*(1-'5.Closing Stock &amp; W Capital'!$D$16))+(C151*'5.Closing Stock &amp; W Capital'!$D$16))*$C210*F$172</f>
        <v>0</v>
      </c>
      <c r="G210" s="71">
        <f>((E151*(1-'5.Closing Stock &amp; W Capital'!$D$16))+(D151*'5.Closing Stock &amp; W Capital'!$D$16))*$C210*G$172</f>
        <v>0</v>
      </c>
      <c r="H210" s="71">
        <f>((F151*(1-'5.Closing Stock &amp; W Capital'!$D$16))+(E151*'5.Closing Stock &amp; W Capital'!$D$16))*$C210*H$172</f>
        <v>0</v>
      </c>
      <c r="I210" s="71">
        <f>((G151*(1-'5.Closing Stock &amp; W Capital'!$D$16))+(F151*'5.Closing Stock &amp; W Capital'!$D$16))*$C210*I$172</f>
        <v>0</v>
      </c>
      <c r="J210" s="71">
        <f>((H151*(1-'5.Closing Stock &amp; W Capital'!$D$16))+(G151*'5.Closing Stock &amp; W Capital'!$D$16))*$C210*J$172</f>
        <v>0</v>
      </c>
    </row>
    <row r="211" spans="1:10" hidden="1">
      <c r="A211" s="16">
        <f t="shared" si="34"/>
        <v>0</v>
      </c>
      <c r="B211" s="9" t="s">
        <v>574</v>
      </c>
      <c r="C211" s="50"/>
      <c r="D211" s="71">
        <f>(B152*(1-'5.Closing Stock &amp; W Capital'!$D$16))*$C211*D$172</f>
        <v>0</v>
      </c>
      <c r="E211" s="71">
        <f>((C152*(1-'5.Closing Stock &amp; W Capital'!$D$16))+(B152*'5.Closing Stock &amp; W Capital'!$D$16))*$C211*E$172</f>
        <v>0</v>
      </c>
      <c r="F211" s="71">
        <f>((D152*(1-'5.Closing Stock &amp; W Capital'!$D$16))+(C152*'5.Closing Stock &amp; W Capital'!$D$16))*$C211*F$172</f>
        <v>0</v>
      </c>
      <c r="G211" s="71">
        <f>((E152*(1-'5.Closing Stock &amp; W Capital'!$D$16))+(D152*'5.Closing Stock &amp; W Capital'!$D$16))*$C211*G$172</f>
        <v>0</v>
      </c>
      <c r="H211" s="71">
        <f>((F152*(1-'5.Closing Stock &amp; W Capital'!$D$16))+(E152*'5.Closing Stock &amp; W Capital'!$D$16))*$C211*H$172</f>
        <v>0</v>
      </c>
      <c r="I211" s="71">
        <f>((G152*(1-'5.Closing Stock &amp; W Capital'!$D$16))+(F152*'5.Closing Stock &amp; W Capital'!$D$16))*$C211*I$172</f>
        <v>0</v>
      </c>
      <c r="J211" s="71">
        <f>((H152*(1-'5.Closing Stock &amp; W Capital'!$D$16))+(G152*'5.Closing Stock &amp; W Capital'!$D$16))*$C211*J$172</f>
        <v>0</v>
      </c>
    </row>
    <row r="212" spans="1:10" hidden="1">
      <c r="A212" s="16" t="str">
        <f t="shared" si="34"/>
        <v>Onion</v>
      </c>
      <c r="B212" s="9" t="s">
        <v>574</v>
      </c>
      <c r="C212" s="17">
        <v>2000</v>
      </c>
      <c r="D212" s="71">
        <f>(B153*(1-'5.Closing Stock &amp; W Capital'!$D$16))*$C212*D$172</f>
        <v>0</v>
      </c>
      <c r="E212" s="71">
        <f>((C153*(1-'5.Closing Stock &amp; W Capital'!$D$16))+(B153*'5.Closing Stock &amp; W Capital'!$D$16))*$C212*E$172</f>
        <v>0</v>
      </c>
      <c r="F212" s="71">
        <f>((D153*(1-'5.Closing Stock &amp; W Capital'!$D$16))+(C153*'5.Closing Stock &amp; W Capital'!$D$16))*$C212*F$172</f>
        <v>0</v>
      </c>
      <c r="G212" s="71">
        <f>((E153*(1-'5.Closing Stock &amp; W Capital'!$D$16))+(D153*'5.Closing Stock &amp; W Capital'!$D$16))*$C212*G$172</f>
        <v>0</v>
      </c>
      <c r="H212" s="71">
        <f>((F153*(1-'5.Closing Stock &amp; W Capital'!$D$16))+(E153*'5.Closing Stock &amp; W Capital'!$D$16))*$C212*H$172</f>
        <v>0</v>
      </c>
      <c r="I212" s="71">
        <f>((G153*(1-'5.Closing Stock &amp; W Capital'!$D$16))+(F153*'5.Closing Stock &amp; W Capital'!$D$16))*$C212*I$172</f>
        <v>0</v>
      </c>
      <c r="J212" s="71">
        <f>((H153*(1-'5.Closing Stock &amp; W Capital'!$D$16))+(G153*'5.Closing Stock &amp; W Capital'!$D$16))*$C212*J$172</f>
        <v>0</v>
      </c>
    </row>
    <row r="213" spans="1:10" hidden="1">
      <c r="A213" s="16" t="str">
        <f t="shared" si="34"/>
        <v>Tomato</v>
      </c>
      <c r="B213" s="9" t="s">
        <v>574</v>
      </c>
      <c r="C213" s="17">
        <v>1000</v>
      </c>
      <c r="D213" s="71">
        <f>(B154*(1-'5.Closing Stock &amp; W Capital'!$D$16))*$C213*D$172</f>
        <v>0</v>
      </c>
      <c r="E213" s="71">
        <f>((C154*(1-'5.Closing Stock &amp; W Capital'!$D$16))+(B154*'5.Closing Stock &amp; W Capital'!$D$16))*$C213*E$172</f>
        <v>0</v>
      </c>
      <c r="F213" s="71">
        <f>((D154*(1-'5.Closing Stock &amp; W Capital'!$D$16))+(C154*'5.Closing Stock &amp; W Capital'!$D$16))*$C213*F$172</f>
        <v>0</v>
      </c>
      <c r="G213" s="71">
        <f>((E154*(1-'5.Closing Stock &amp; W Capital'!$D$16))+(D154*'5.Closing Stock &amp; W Capital'!$D$16))*$C213*G$172</f>
        <v>0</v>
      </c>
      <c r="H213" s="71">
        <f>((F154*(1-'5.Closing Stock &amp; W Capital'!$D$16))+(E154*'5.Closing Stock &amp; W Capital'!$D$16))*$C213*H$172</f>
        <v>0</v>
      </c>
      <c r="I213" s="71">
        <f>((G154*(1-'5.Closing Stock &amp; W Capital'!$D$16))+(F154*'5.Closing Stock &amp; W Capital'!$D$16))*$C213*I$172</f>
        <v>0</v>
      </c>
      <c r="J213" s="71">
        <f>((H154*(1-'5.Closing Stock &amp; W Capital'!$D$16))+(G154*'5.Closing Stock &amp; W Capital'!$D$16))*$C213*J$172</f>
        <v>0</v>
      </c>
    </row>
    <row r="214" spans="1:10" hidden="1">
      <c r="A214" s="16" t="str">
        <f t="shared" si="34"/>
        <v>Okra</v>
      </c>
      <c r="B214" s="9" t="s">
        <v>574</v>
      </c>
      <c r="C214" s="17">
        <v>1500</v>
      </c>
      <c r="D214" s="71">
        <f>(B155*(1-'5.Closing Stock &amp; W Capital'!$D$16))*$C214*D$172</f>
        <v>0</v>
      </c>
      <c r="E214" s="71">
        <f>((C155*(1-'5.Closing Stock &amp; W Capital'!$D$16))+(B155*'5.Closing Stock &amp; W Capital'!$D$16))*$C214*E$172</f>
        <v>0</v>
      </c>
      <c r="F214" s="71">
        <f>((D155*(1-'5.Closing Stock &amp; W Capital'!$D$16))+(C155*'5.Closing Stock &amp; W Capital'!$D$16))*$C214*F$172</f>
        <v>0</v>
      </c>
      <c r="G214" s="71">
        <f>((E155*(1-'5.Closing Stock &amp; W Capital'!$D$16))+(D155*'5.Closing Stock &amp; W Capital'!$D$16))*$C214*G$172</f>
        <v>0</v>
      </c>
      <c r="H214" s="71">
        <f>((F155*(1-'5.Closing Stock &amp; W Capital'!$D$16))+(E155*'5.Closing Stock &amp; W Capital'!$D$16))*$C214*H$172</f>
        <v>0</v>
      </c>
      <c r="I214" s="71">
        <f>((G155*(1-'5.Closing Stock &amp; W Capital'!$D$16))+(F155*'5.Closing Stock &amp; W Capital'!$D$16))*$C214*I$172</f>
        <v>0</v>
      </c>
      <c r="J214" s="71">
        <f>((H155*(1-'5.Closing Stock &amp; W Capital'!$D$16))+(G155*'5.Closing Stock &amp; W Capital'!$D$16))*$C214*J$172</f>
        <v>0</v>
      </c>
    </row>
    <row r="215" spans="1:10" hidden="1">
      <c r="A215" s="16" t="str">
        <f t="shared" si="34"/>
        <v>Chilli</v>
      </c>
      <c r="B215" s="9" t="s">
        <v>574</v>
      </c>
      <c r="C215" s="17">
        <v>3000</v>
      </c>
      <c r="D215" s="71">
        <f>(B156*(1-'5.Closing Stock &amp; W Capital'!$D$16))*$C215*D$172</f>
        <v>0</v>
      </c>
      <c r="E215" s="71">
        <f>((C156*(1-'5.Closing Stock &amp; W Capital'!$D$16))+(B156*'5.Closing Stock &amp; W Capital'!$D$16))*$C215*E$172</f>
        <v>0</v>
      </c>
      <c r="F215" s="71">
        <f>((D156*(1-'5.Closing Stock &amp; W Capital'!$D$16))+(C156*'5.Closing Stock &amp; W Capital'!$D$16))*$C215*F$172</f>
        <v>0</v>
      </c>
      <c r="G215" s="71">
        <f>((E156*(1-'5.Closing Stock &amp; W Capital'!$D$16))+(D156*'5.Closing Stock &amp; W Capital'!$D$16))*$C215*G$172</f>
        <v>0</v>
      </c>
      <c r="H215" s="71">
        <f>((F156*(1-'5.Closing Stock &amp; W Capital'!$D$16))+(E156*'5.Closing Stock &amp; W Capital'!$D$16))*$C215*H$172</f>
        <v>0</v>
      </c>
      <c r="I215" s="71">
        <f>((G156*(1-'5.Closing Stock &amp; W Capital'!$D$16))+(F156*'5.Closing Stock &amp; W Capital'!$D$16))*$C215*I$172</f>
        <v>0</v>
      </c>
      <c r="J215" s="71">
        <f>((H156*(1-'5.Closing Stock &amp; W Capital'!$D$16))+(G156*'5.Closing Stock &amp; W Capital'!$D$16))*$C215*J$172</f>
        <v>0</v>
      </c>
    </row>
    <row r="216" spans="1:10" hidden="1">
      <c r="A216" s="16" t="str">
        <f t="shared" si="34"/>
        <v>Brinjal</v>
      </c>
      <c r="B216" s="9" t="s">
        <v>574</v>
      </c>
      <c r="C216" s="17">
        <v>2000</v>
      </c>
      <c r="D216" s="71">
        <f>(B157*(1-'5.Closing Stock &amp; W Capital'!$D$16))*$C216*D$172</f>
        <v>0</v>
      </c>
      <c r="E216" s="71">
        <f>((C157*(1-'5.Closing Stock &amp; W Capital'!$D$16))+(B157*'5.Closing Stock &amp; W Capital'!$D$16))*$C216*E$172</f>
        <v>0</v>
      </c>
      <c r="F216" s="71">
        <f>((D157*(1-'5.Closing Stock &amp; W Capital'!$D$16))+(C157*'5.Closing Stock &amp; W Capital'!$D$16))*$C216*F$172</f>
        <v>0</v>
      </c>
      <c r="G216" s="71">
        <f>((E157*(1-'5.Closing Stock &amp; W Capital'!$D$16))+(D157*'5.Closing Stock &amp; W Capital'!$D$16))*$C216*G$172</f>
        <v>0</v>
      </c>
      <c r="H216" s="71">
        <f>((F157*(1-'5.Closing Stock &amp; W Capital'!$D$16))+(E157*'5.Closing Stock &amp; W Capital'!$D$16))*$C216*H$172</f>
        <v>0</v>
      </c>
      <c r="I216" s="71">
        <f>((G157*(1-'5.Closing Stock &amp; W Capital'!$D$16))+(F157*'5.Closing Stock &amp; W Capital'!$D$16))*$C216*I$172</f>
        <v>0</v>
      </c>
      <c r="J216" s="71">
        <f>((H157*(1-'5.Closing Stock &amp; W Capital'!$D$16))+(G157*'5.Closing Stock &amp; W Capital'!$D$16))*$C216*J$172</f>
        <v>0</v>
      </c>
    </row>
    <row r="217" spans="1:10" hidden="1">
      <c r="A217" s="16" t="str">
        <f t="shared" si="34"/>
        <v>Cashew</v>
      </c>
      <c r="B217" s="9" t="s">
        <v>574</v>
      </c>
      <c r="C217" s="17"/>
      <c r="D217" s="71">
        <f>(B158*(1-'5.Closing Stock &amp; W Capital'!$D$16))*$C217*D$172</f>
        <v>0</v>
      </c>
      <c r="E217" s="71">
        <f>((C158*(1-'5.Closing Stock &amp; W Capital'!$D$16))+(B158*'5.Closing Stock &amp; W Capital'!$D$16))*$C217*E$172</f>
        <v>0</v>
      </c>
      <c r="F217" s="71">
        <f>((D158*(1-'5.Closing Stock &amp; W Capital'!$D$16))+(C158*'5.Closing Stock &amp; W Capital'!$D$16))*$C217*F$172</f>
        <v>0</v>
      </c>
      <c r="G217" s="71">
        <f>((E158*(1-'5.Closing Stock &amp; W Capital'!$D$16))+(D158*'5.Closing Stock &amp; W Capital'!$D$16))*$C217*G$172</f>
        <v>0</v>
      </c>
      <c r="H217" s="71">
        <f>((F158*(1-'5.Closing Stock &amp; W Capital'!$D$16))+(E158*'5.Closing Stock &amp; W Capital'!$D$16))*$C217*H$172</f>
        <v>0</v>
      </c>
      <c r="I217" s="71">
        <f>((G158*(1-'5.Closing Stock &amp; W Capital'!$D$16))+(F158*'5.Closing Stock &amp; W Capital'!$D$16))*$C217*I$172</f>
        <v>0</v>
      </c>
      <c r="J217" s="71">
        <f>((H158*(1-'5.Closing Stock &amp; W Capital'!$D$16))+(G158*'5.Closing Stock &amp; W Capital'!$D$16))*$C217*J$172</f>
        <v>0</v>
      </c>
    </row>
    <row r="218" spans="1:10" hidden="1">
      <c r="A218" s="16">
        <f t="shared" si="34"/>
        <v>0</v>
      </c>
      <c r="B218" s="9" t="s">
        <v>574</v>
      </c>
      <c r="C218" s="17"/>
      <c r="D218" s="71">
        <f>(B159*(1-'5.Closing Stock &amp; W Capital'!$D$16))*$C218*D$172</f>
        <v>0</v>
      </c>
      <c r="E218" s="71">
        <f>((C159*(1-'5.Closing Stock &amp; W Capital'!$D$16))+(B159*'5.Closing Stock &amp; W Capital'!$D$16))*$C218*E$172</f>
        <v>0</v>
      </c>
      <c r="F218" s="71">
        <f>((D159*(1-'5.Closing Stock &amp; W Capital'!$D$16))+(C159*'5.Closing Stock &amp; W Capital'!$D$16))*$C218*F$172</f>
        <v>0</v>
      </c>
      <c r="G218" s="71">
        <f>((E159*(1-'5.Closing Stock &amp; W Capital'!$D$16))+(D159*'5.Closing Stock &amp; W Capital'!$D$16))*$C218*G$172</f>
        <v>0</v>
      </c>
      <c r="H218" s="71">
        <f>((F159*(1-'5.Closing Stock &amp; W Capital'!$D$16))+(E159*'5.Closing Stock &amp; W Capital'!$D$16))*$C218*H$172</f>
        <v>0</v>
      </c>
      <c r="I218" s="71">
        <f>((G159*(1-'5.Closing Stock &amp; W Capital'!$D$16))+(F159*'5.Closing Stock &amp; W Capital'!$D$16))*$C218*I$172</f>
        <v>0</v>
      </c>
      <c r="J218" s="71">
        <f>((H159*(1-'5.Closing Stock &amp; W Capital'!$D$16))+(G159*'5.Closing Stock &amp; W Capital'!$D$16))*$C218*J$172</f>
        <v>0</v>
      </c>
    </row>
    <row r="219" spans="1:10" hidden="1">
      <c r="A219" s="16">
        <f t="shared" si="34"/>
        <v>0</v>
      </c>
      <c r="B219" s="9" t="s">
        <v>574</v>
      </c>
      <c r="C219" s="17"/>
      <c r="D219" s="71">
        <f>(B160*(1-'5.Closing Stock &amp; W Capital'!$D$16))*$C219*D$172</f>
        <v>0</v>
      </c>
      <c r="E219" s="71">
        <f>((C160*(1-'5.Closing Stock &amp; W Capital'!$D$16))+(B160*'5.Closing Stock &amp; W Capital'!$D$16))*$C219*E$172</f>
        <v>0</v>
      </c>
      <c r="F219" s="71">
        <f>((D160*(1-'5.Closing Stock &amp; W Capital'!$D$16))+(C160*'5.Closing Stock &amp; W Capital'!$D$16))*$C219*F$172</f>
        <v>0</v>
      </c>
      <c r="G219" s="71">
        <f>((E160*(1-'5.Closing Stock &amp; W Capital'!$D$16))+(D160*'5.Closing Stock &amp; W Capital'!$D$16))*$C219*G$172</f>
        <v>0</v>
      </c>
      <c r="H219" s="71">
        <f>((F160*(1-'5.Closing Stock &amp; W Capital'!$D$16))+(E160*'5.Closing Stock &amp; W Capital'!$D$16))*$C219*H$172</f>
        <v>0</v>
      </c>
      <c r="I219" s="71">
        <f>((G160*(1-'5.Closing Stock &amp; W Capital'!$D$16))+(F160*'5.Closing Stock &amp; W Capital'!$D$16))*$C219*I$172</f>
        <v>0</v>
      </c>
      <c r="J219" s="71">
        <f>((H160*(1-'5.Closing Stock &amp; W Capital'!$D$16))+(G160*'5.Closing Stock &amp; W Capital'!$D$16))*$C219*J$172</f>
        <v>0</v>
      </c>
    </row>
    <row r="220" spans="1:10" hidden="1">
      <c r="A220" s="16">
        <f t="shared" si="34"/>
        <v>0</v>
      </c>
      <c r="B220" s="9" t="s">
        <v>574</v>
      </c>
      <c r="C220" s="17"/>
      <c r="D220" s="71">
        <f>(B161*(1-'5.Closing Stock &amp; W Capital'!$D$16))*$C220*D$172</f>
        <v>0</v>
      </c>
      <c r="E220" s="71">
        <f>((C161*(1-'5.Closing Stock &amp; W Capital'!$D$16))+(B161*'5.Closing Stock &amp; W Capital'!$D$16))*$C220*E$172</f>
        <v>0</v>
      </c>
      <c r="F220" s="71">
        <f>((D161*(1-'5.Closing Stock &amp; W Capital'!$D$16))+(C161*'5.Closing Stock &amp; W Capital'!$D$16))*$C220*F$172</f>
        <v>0</v>
      </c>
      <c r="G220" s="71">
        <f>((E161*(1-'5.Closing Stock &amp; W Capital'!$D$16))+(D161*'5.Closing Stock &amp; W Capital'!$D$16))*$C220*G$172</f>
        <v>0</v>
      </c>
      <c r="H220" s="71">
        <f>((F161*(1-'5.Closing Stock &amp; W Capital'!$D$16))+(E161*'5.Closing Stock &amp; W Capital'!$D$16))*$C220*H$172</f>
        <v>0</v>
      </c>
      <c r="I220" s="71">
        <f>((G161*(1-'5.Closing Stock &amp; W Capital'!$D$16))+(F161*'5.Closing Stock &amp; W Capital'!$D$16))*$C220*I$172</f>
        <v>0</v>
      </c>
      <c r="J220" s="71">
        <f>((H161*(1-'5.Closing Stock &amp; W Capital'!$D$16))+(G161*'5.Closing Stock &amp; W Capital'!$D$16))*$C220*J$172</f>
        <v>0</v>
      </c>
    </row>
    <row r="221" spans="1:10" hidden="1">
      <c r="A221" s="16">
        <f t="shared" ref="A221:A223" si="35">A162</f>
        <v>0</v>
      </c>
      <c r="B221" s="9" t="s">
        <v>574</v>
      </c>
      <c r="C221" s="17"/>
      <c r="D221" s="71">
        <f>(B162*(1-'5.Closing Stock &amp; W Capital'!$D$16))*$C221*D$172</f>
        <v>0</v>
      </c>
      <c r="E221" s="71">
        <f>((C162*(1-'5.Closing Stock &amp; W Capital'!$D$16))+(B162*'5.Closing Stock &amp; W Capital'!$D$16))*$C221*E$172</f>
        <v>0</v>
      </c>
      <c r="F221" s="71">
        <f>((D162*(1-'5.Closing Stock &amp; W Capital'!$D$16))+(C162*'5.Closing Stock &amp; W Capital'!$D$16))*$C221*F$172</f>
        <v>0</v>
      </c>
      <c r="G221" s="71">
        <f>((E162*(1-'5.Closing Stock &amp; W Capital'!$D$16))+(D162*'5.Closing Stock &amp; W Capital'!$D$16))*$C221*G$172</f>
        <v>0</v>
      </c>
      <c r="H221" s="71">
        <f>((F162*(1-'5.Closing Stock &amp; W Capital'!$D$16))+(E162*'5.Closing Stock &amp; W Capital'!$D$16))*$C221*H$172</f>
        <v>0</v>
      </c>
      <c r="I221" s="71">
        <f>((G162*(1-'5.Closing Stock &amp; W Capital'!$D$16))+(F162*'5.Closing Stock &amp; W Capital'!$D$16))*$C221*I$172</f>
        <v>0</v>
      </c>
      <c r="J221" s="71">
        <f>((H162*(1-'5.Closing Stock &amp; W Capital'!$D$16))+(G162*'5.Closing Stock &amp; W Capital'!$D$16))*$C221*J$172</f>
        <v>0</v>
      </c>
    </row>
    <row r="222" spans="1:10" hidden="1">
      <c r="A222" s="16">
        <f t="shared" si="35"/>
        <v>0</v>
      </c>
      <c r="B222" s="9" t="s">
        <v>574</v>
      </c>
      <c r="C222" s="17"/>
      <c r="D222" s="71">
        <f>(B163*(1-'5.Closing Stock &amp; W Capital'!$D$16))*$C222*D$172</f>
        <v>0</v>
      </c>
      <c r="E222" s="71">
        <f>((C163*(1-'5.Closing Stock &amp; W Capital'!$D$16))+(B163*'5.Closing Stock &amp; W Capital'!$D$16))*$C222*E$172</f>
        <v>0</v>
      </c>
      <c r="F222" s="71">
        <f>((D163*(1-'5.Closing Stock &amp; W Capital'!$D$16))+(C163*'5.Closing Stock &amp; W Capital'!$D$16))*$C222*F$172</f>
        <v>0</v>
      </c>
      <c r="G222" s="71">
        <f>((E163*(1-'5.Closing Stock &amp; W Capital'!$D$16))+(D163*'5.Closing Stock &amp; W Capital'!$D$16))*$C222*G$172</f>
        <v>0</v>
      </c>
      <c r="H222" s="71">
        <f>((F163*(1-'5.Closing Stock &amp; W Capital'!$D$16))+(E163*'5.Closing Stock &amp; W Capital'!$D$16))*$C222*H$172</f>
        <v>0</v>
      </c>
      <c r="I222" s="71">
        <f>((G163*(1-'5.Closing Stock &amp; W Capital'!$D$16))+(F163*'5.Closing Stock &amp; W Capital'!$D$16))*$C222*I$172</f>
        <v>0</v>
      </c>
      <c r="J222" s="71">
        <f>((H163*(1-'5.Closing Stock &amp; W Capital'!$D$16))+(G163*'5.Closing Stock &amp; W Capital'!$D$16))*$C222*J$172</f>
        <v>0</v>
      </c>
    </row>
    <row r="223" spans="1:10" hidden="1">
      <c r="A223" s="16">
        <f t="shared" si="35"/>
        <v>0</v>
      </c>
      <c r="B223" s="9" t="s">
        <v>574</v>
      </c>
      <c r="C223" s="17"/>
      <c r="D223" s="71">
        <f>(B164*(1-'5.Closing Stock &amp; W Capital'!$D$16))*$C223*D$172</f>
        <v>0</v>
      </c>
      <c r="E223" s="71">
        <f>((C164*(1-'5.Closing Stock &amp; W Capital'!$D$16))+(B164*'5.Closing Stock &amp; W Capital'!$D$16))*$C223*E$172</f>
        <v>0</v>
      </c>
      <c r="F223" s="71">
        <f>((D164*(1-'5.Closing Stock &amp; W Capital'!$D$16))+(C164*'5.Closing Stock &amp; W Capital'!$D$16))*$C223*F$172</f>
        <v>0</v>
      </c>
      <c r="G223" s="71">
        <f>((E164*(1-'5.Closing Stock &amp; W Capital'!$D$16))+(D164*'5.Closing Stock &amp; W Capital'!$D$16))*$C223*G$172</f>
        <v>0</v>
      </c>
      <c r="H223" s="71">
        <f>((F164*(1-'5.Closing Stock &amp; W Capital'!$D$16))+(E164*'5.Closing Stock &amp; W Capital'!$D$16))*$C223*H$172</f>
        <v>0</v>
      </c>
      <c r="I223" s="71">
        <f>((G164*(1-'5.Closing Stock &amp; W Capital'!$D$16))+(F164*'5.Closing Stock &amp; W Capital'!$D$16))*$C223*I$172</f>
        <v>0</v>
      </c>
      <c r="J223" s="71">
        <f>((H164*(1-'5.Closing Stock &amp; W Capital'!$D$16))+(G164*'5.Closing Stock &amp; W Capital'!$D$16))*$C223*J$172</f>
        <v>0</v>
      </c>
    </row>
    <row r="224" spans="1:10">
      <c r="A224" s="16" t="str">
        <f t="shared" ref="A224:A227" si="36">A165</f>
        <v>Cashew</v>
      </c>
      <c r="B224" s="9" t="s">
        <v>574</v>
      </c>
      <c r="C224" s="17">
        <v>17000</v>
      </c>
      <c r="D224" s="71">
        <f>(B165*(1-'5.Closing Stock &amp; W Capital'!$D$16))*$C224*D$172</f>
        <v>0</v>
      </c>
      <c r="E224" s="71">
        <f>((C165*(1-'5.Closing Stock &amp; W Capital'!$D$16))+(B165*'5.Closing Stock &amp; W Capital'!$D$16))*$C224*E$172</f>
        <v>0</v>
      </c>
      <c r="F224" s="71">
        <f>((D165*(1-'5.Closing Stock &amp; W Capital'!$D$16))+(C165*'5.Closing Stock &amp; W Capital'!$D$16))*$C224*F$172</f>
        <v>0</v>
      </c>
      <c r="G224" s="71">
        <f>((E165*(1-'5.Closing Stock &amp; W Capital'!$D$16))+(D165*'5.Closing Stock &amp; W Capital'!$D$16))*$C224*G$172</f>
        <v>0</v>
      </c>
      <c r="H224" s="71">
        <f>((F165*(1-'5.Closing Stock &amp; W Capital'!$D$16))+(E165*'5.Closing Stock &amp; W Capital'!$D$16))*$C224*H$172</f>
        <v>0</v>
      </c>
      <c r="I224" s="71">
        <f>((G165*(1-'5.Closing Stock &amp; W Capital'!$D$16))+(F165*'5.Closing Stock &amp; W Capital'!$D$16))*$C224*I$172</f>
        <v>0</v>
      </c>
      <c r="J224" s="71">
        <f>((H165*(1-'5.Closing Stock &amp; W Capital'!$D$16))+(G165*'5.Closing Stock &amp; W Capital'!$D$16))*$C224*J$172</f>
        <v>0</v>
      </c>
    </row>
    <row r="225" spans="1:10" hidden="1">
      <c r="A225" s="16" t="str">
        <f t="shared" si="36"/>
        <v>Custard Apple</v>
      </c>
      <c r="B225" s="9" t="s">
        <v>574</v>
      </c>
      <c r="C225" s="17"/>
      <c r="D225" s="71">
        <f>(B166*(1-'5.Closing Stock &amp; W Capital'!$D$16))*$C225*D$172</f>
        <v>0</v>
      </c>
      <c r="E225" s="71">
        <f>((C166*(1-'5.Closing Stock &amp; W Capital'!$D$16))+(B166*'5.Closing Stock &amp; W Capital'!$D$16))*$C225*E$172</f>
        <v>0</v>
      </c>
      <c r="F225" s="71">
        <f>((D166*(1-'5.Closing Stock &amp; W Capital'!$D$16))+(C166*'5.Closing Stock &amp; W Capital'!$D$16))*$C225*F$172</f>
        <v>0</v>
      </c>
      <c r="G225" s="71">
        <f>((E166*(1-'5.Closing Stock &amp; W Capital'!$D$16))+(D166*'5.Closing Stock &amp; W Capital'!$D$16))*$C225*G$172</f>
        <v>0</v>
      </c>
      <c r="H225" s="71">
        <f>((F166*(1-'5.Closing Stock &amp; W Capital'!$D$16))+(E166*'5.Closing Stock &amp; W Capital'!$D$16))*$C225*H$172</f>
        <v>0</v>
      </c>
      <c r="I225" s="71">
        <f>((G166*(1-'5.Closing Stock &amp; W Capital'!$D$16))+(F166*'5.Closing Stock &amp; W Capital'!$D$16))*$C225*I$172</f>
        <v>0</v>
      </c>
      <c r="J225" s="71">
        <f>((H166*(1-'5.Closing Stock &amp; W Capital'!$D$16))+(G166*'5.Closing Stock &amp; W Capital'!$D$16))*$C225*J$172</f>
        <v>0</v>
      </c>
    </row>
    <row r="226" spans="1:10" hidden="1">
      <c r="A226" s="16" t="str">
        <f t="shared" si="36"/>
        <v>Guava</v>
      </c>
      <c r="B226" s="9" t="s">
        <v>574</v>
      </c>
      <c r="C226" s="17"/>
      <c r="D226" s="71">
        <f>(B167*(1-'5.Closing Stock &amp; W Capital'!$D$16))*$C226*D$172</f>
        <v>0</v>
      </c>
      <c r="E226" s="71">
        <f>((C167*(1-'5.Closing Stock &amp; W Capital'!$D$16))+(B167*'5.Closing Stock &amp; W Capital'!$D$16))*$C226*E$172</f>
        <v>0</v>
      </c>
      <c r="F226" s="71">
        <f>((D167*(1-'5.Closing Stock &amp; W Capital'!$D$16))+(C167*'5.Closing Stock &amp; W Capital'!$D$16))*$C226*F$172</f>
        <v>0</v>
      </c>
      <c r="G226" s="71">
        <f>((E167*(1-'5.Closing Stock &amp; W Capital'!$D$16))+(D167*'5.Closing Stock &amp; W Capital'!$D$16))*$C226*G$172</f>
        <v>0</v>
      </c>
      <c r="H226" s="71">
        <f>((F167*(1-'5.Closing Stock &amp; W Capital'!$D$16))+(E167*'5.Closing Stock &amp; W Capital'!$D$16))*$C226*H$172</f>
        <v>0</v>
      </c>
      <c r="I226" s="71">
        <f>((G167*(1-'5.Closing Stock &amp; W Capital'!$D$16))+(F167*'5.Closing Stock &amp; W Capital'!$D$16))*$C226*I$172</f>
        <v>0</v>
      </c>
      <c r="J226" s="71">
        <f>((H167*(1-'5.Closing Stock &amp; W Capital'!$D$16))+(G167*'5.Closing Stock &amp; W Capital'!$D$16))*$C226*J$172</f>
        <v>0</v>
      </c>
    </row>
    <row r="227" spans="1:10" hidden="1">
      <c r="A227" s="16" t="str">
        <f t="shared" si="36"/>
        <v>Citrus</v>
      </c>
      <c r="B227" s="9" t="s">
        <v>574</v>
      </c>
      <c r="C227" s="17"/>
      <c r="D227" s="71">
        <f>(B168*(1-'5.Closing Stock &amp; W Capital'!$D$16))*$C227*D$172</f>
        <v>0</v>
      </c>
      <c r="E227" s="71">
        <f>((C168*(1-'5.Closing Stock &amp; W Capital'!$D$16))+(B168*'5.Closing Stock &amp; W Capital'!$D$16))*$C227*E$172</f>
        <v>0</v>
      </c>
      <c r="F227" s="71">
        <f>((D168*(1-'5.Closing Stock &amp; W Capital'!$D$16))+(C168*'5.Closing Stock &amp; W Capital'!$D$16))*$C227*F$172</f>
        <v>0</v>
      </c>
      <c r="G227" s="71">
        <f>((E168*(1-'5.Closing Stock &amp; W Capital'!$D$16))+(D168*'5.Closing Stock &amp; W Capital'!$D$16))*$C227*G$172</f>
        <v>0</v>
      </c>
      <c r="H227" s="71">
        <f>((F168*(1-'5.Closing Stock &amp; W Capital'!$D$16))+(E168*'5.Closing Stock &amp; W Capital'!$D$16))*$C227*H$172</f>
        <v>0</v>
      </c>
      <c r="I227" s="71">
        <f>((G168*(1-'5.Closing Stock &amp; W Capital'!$D$16))+(F168*'5.Closing Stock &amp; W Capital'!$D$16))*$C227*I$172</f>
        <v>0</v>
      </c>
      <c r="J227" s="71">
        <f>((H168*(1-'5.Closing Stock &amp; W Capital'!$D$16))+(G168*'5.Closing Stock &amp; W Capital'!$D$16))*$C227*J$172</f>
        <v>0</v>
      </c>
    </row>
    <row r="228" spans="1:10">
      <c r="A228" s="16"/>
      <c r="B228" s="16"/>
      <c r="C228" s="16"/>
      <c r="D228" s="9"/>
      <c r="E228" s="9"/>
      <c r="F228" s="9"/>
      <c r="G228" s="9"/>
      <c r="H228" s="9"/>
      <c r="I228" s="9"/>
      <c r="J228" s="9"/>
    </row>
    <row r="229" spans="1:10">
      <c r="A229" s="16" t="s">
        <v>344</v>
      </c>
      <c r="B229" s="16"/>
      <c r="C229" s="16"/>
      <c r="D229" s="73">
        <f t="shared" ref="D229:J229" si="37">SUM(D178:D228)</f>
        <v>0</v>
      </c>
      <c r="E229" s="73">
        <f t="shared" si="37"/>
        <v>0</v>
      </c>
      <c r="F229" s="73">
        <f t="shared" si="37"/>
        <v>0</v>
      </c>
      <c r="G229" s="73">
        <f t="shared" si="37"/>
        <v>0</v>
      </c>
      <c r="H229" s="73">
        <f t="shared" si="37"/>
        <v>0</v>
      </c>
      <c r="I229" s="73">
        <f t="shared" si="37"/>
        <v>0</v>
      </c>
      <c r="J229" s="73">
        <f t="shared" si="37"/>
        <v>0</v>
      </c>
    </row>
    <row r="230" spans="1:10">
      <c r="A230" s="9"/>
      <c r="B230" s="9"/>
      <c r="C230" s="9"/>
      <c r="D230" s="9"/>
      <c r="E230" s="9"/>
      <c r="F230" s="9"/>
      <c r="G230" s="9"/>
      <c r="H230" s="9"/>
      <c r="I230" s="9"/>
      <c r="J230" s="9"/>
    </row>
    <row r="231" spans="1:10">
      <c r="A231" s="16" t="s">
        <v>576</v>
      </c>
      <c r="B231" s="16"/>
      <c r="C231" s="16"/>
      <c r="D231" s="9"/>
      <c r="E231" s="9"/>
      <c r="F231" s="9"/>
      <c r="G231" s="9"/>
      <c r="H231" s="9"/>
      <c r="I231" s="9"/>
      <c r="J231" s="9"/>
    </row>
    <row r="232" spans="1:10">
      <c r="A232" s="16" t="s">
        <v>345</v>
      </c>
      <c r="B232" s="16"/>
      <c r="C232" s="9"/>
      <c r="D232" s="9"/>
      <c r="E232" s="9"/>
      <c r="F232" s="9"/>
      <c r="G232" s="9"/>
      <c r="H232" s="9"/>
      <c r="I232" s="9"/>
      <c r="J232" s="9"/>
    </row>
    <row r="233" spans="1:10" hidden="1">
      <c r="A233" s="9" t="str">
        <f t="shared" ref="A233:A254" si="38">A178</f>
        <v>Soybean</v>
      </c>
      <c r="B233" s="9" t="s">
        <v>574</v>
      </c>
      <c r="C233" s="32">
        <v>3800</v>
      </c>
      <c r="D233" s="19">
        <f>B68*$C$233*D$172</f>
        <v>0</v>
      </c>
      <c r="E233" s="19">
        <f>C68*$C$233*E$172</f>
        <v>0</v>
      </c>
      <c r="F233" s="19">
        <f>D68*$C$233*F172</f>
        <v>0</v>
      </c>
      <c r="G233" s="19">
        <f>E68*$C$233*G172</f>
        <v>0</v>
      </c>
      <c r="H233" s="19">
        <f>F68*$C$233*H172</f>
        <v>0</v>
      </c>
      <c r="I233" s="19">
        <f>G68*$C$233*I172</f>
        <v>0</v>
      </c>
      <c r="J233" s="19">
        <f>H68*$C$233*J172</f>
        <v>0</v>
      </c>
    </row>
    <row r="234" spans="1:10" hidden="1">
      <c r="A234" s="9" t="str">
        <f t="shared" si="38"/>
        <v>Red Gram/Tur</v>
      </c>
      <c r="B234" s="9" t="s">
        <v>574</v>
      </c>
      <c r="C234" s="32">
        <v>5800</v>
      </c>
      <c r="D234" s="19">
        <f>B69*$C$234*D$172</f>
        <v>0</v>
      </c>
      <c r="E234" s="19">
        <f t="shared" ref="E234:J234" si="39">C69*$C$234*E172</f>
        <v>0</v>
      </c>
      <c r="F234" s="19">
        <f t="shared" si="39"/>
        <v>0</v>
      </c>
      <c r="G234" s="19">
        <f t="shared" si="39"/>
        <v>0</v>
      </c>
      <c r="H234" s="19">
        <f t="shared" si="39"/>
        <v>0</v>
      </c>
      <c r="I234" s="19">
        <f t="shared" si="39"/>
        <v>0</v>
      </c>
      <c r="J234" s="19">
        <f t="shared" si="39"/>
        <v>0</v>
      </c>
    </row>
    <row r="235" spans="1:10" hidden="1">
      <c r="A235" s="9" t="str">
        <f t="shared" si="38"/>
        <v>Paddy/Rice</v>
      </c>
      <c r="B235" s="9" t="s">
        <v>574</v>
      </c>
      <c r="C235" s="32">
        <v>1825</v>
      </c>
      <c r="D235" s="19">
        <f>B70*$C$235*D$172</f>
        <v>0</v>
      </c>
      <c r="E235" s="19">
        <f t="shared" ref="E235:J235" si="40">C70*$C$235*E172</f>
        <v>0</v>
      </c>
      <c r="F235" s="19">
        <f t="shared" si="40"/>
        <v>0</v>
      </c>
      <c r="G235" s="19">
        <f t="shared" si="40"/>
        <v>0</v>
      </c>
      <c r="H235" s="19">
        <f t="shared" si="40"/>
        <v>0</v>
      </c>
      <c r="I235" s="19">
        <f t="shared" si="40"/>
        <v>0</v>
      </c>
      <c r="J235" s="19">
        <f t="shared" si="40"/>
        <v>0</v>
      </c>
    </row>
    <row r="236" spans="1:10" hidden="1">
      <c r="A236" s="9" t="str">
        <f t="shared" si="38"/>
        <v>Green Gram/ Moong</v>
      </c>
      <c r="B236" s="9" t="s">
        <v>574</v>
      </c>
      <c r="C236" s="32">
        <v>5800</v>
      </c>
      <c r="D236" s="19">
        <f t="shared" ref="D236:J236" si="41">B71*$C$236*D$172</f>
        <v>0</v>
      </c>
      <c r="E236" s="19">
        <f t="shared" si="41"/>
        <v>0</v>
      </c>
      <c r="F236" s="19">
        <f t="shared" si="41"/>
        <v>0</v>
      </c>
      <c r="G236" s="19">
        <f t="shared" si="41"/>
        <v>0</v>
      </c>
      <c r="H236" s="19">
        <f t="shared" si="41"/>
        <v>0</v>
      </c>
      <c r="I236" s="19">
        <f t="shared" si="41"/>
        <v>0</v>
      </c>
      <c r="J236" s="19">
        <f t="shared" si="41"/>
        <v>0</v>
      </c>
    </row>
    <row r="237" spans="1:10" hidden="1">
      <c r="A237" s="9" t="str">
        <f t="shared" si="38"/>
        <v>Maize</v>
      </c>
      <c r="B237" s="9" t="s">
        <v>574</v>
      </c>
      <c r="C237" s="32"/>
      <c r="D237" s="19">
        <f t="shared" ref="D237:J237" si="42">B72*$C$237*D$172</f>
        <v>0</v>
      </c>
      <c r="E237" s="19">
        <f t="shared" si="42"/>
        <v>0</v>
      </c>
      <c r="F237" s="19">
        <f t="shared" si="42"/>
        <v>0</v>
      </c>
      <c r="G237" s="19">
        <f t="shared" si="42"/>
        <v>0</v>
      </c>
      <c r="H237" s="19">
        <f t="shared" si="42"/>
        <v>0</v>
      </c>
      <c r="I237" s="19">
        <f t="shared" si="42"/>
        <v>0</v>
      </c>
      <c r="J237" s="19">
        <f t="shared" si="42"/>
        <v>0</v>
      </c>
    </row>
    <row r="238" spans="1:10" hidden="1">
      <c r="A238" s="9" t="str">
        <f t="shared" si="38"/>
        <v>Black Gram/Udid</v>
      </c>
      <c r="B238" s="9" t="s">
        <v>574</v>
      </c>
      <c r="C238" s="32">
        <v>6300</v>
      </c>
      <c r="D238" s="19">
        <f t="shared" ref="D238:J238" si="43">B73*$C$238*D$172</f>
        <v>0</v>
      </c>
      <c r="E238" s="19">
        <f t="shared" si="43"/>
        <v>0</v>
      </c>
      <c r="F238" s="19">
        <f t="shared" si="43"/>
        <v>0</v>
      </c>
      <c r="G238" s="19">
        <f t="shared" si="43"/>
        <v>0</v>
      </c>
      <c r="H238" s="19">
        <f t="shared" si="43"/>
        <v>0</v>
      </c>
      <c r="I238" s="19">
        <f t="shared" si="43"/>
        <v>0</v>
      </c>
      <c r="J238" s="19">
        <f t="shared" si="43"/>
        <v>0</v>
      </c>
    </row>
    <row r="239" spans="1:10" hidden="1">
      <c r="A239" s="9" t="str">
        <f t="shared" si="38"/>
        <v>Bajra</v>
      </c>
      <c r="B239" s="9" t="s">
        <v>574</v>
      </c>
      <c r="C239" s="32">
        <v>1800</v>
      </c>
      <c r="D239" s="19">
        <f t="shared" ref="D239:J239" si="44">B74*$C$239*D$172</f>
        <v>0</v>
      </c>
      <c r="E239" s="19">
        <f t="shared" si="44"/>
        <v>0</v>
      </c>
      <c r="F239" s="19">
        <f t="shared" si="44"/>
        <v>0</v>
      </c>
      <c r="G239" s="19">
        <f t="shared" si="44"/>
        <v>0</v>
      </c>
      <c r="H239" s="19">
        <f t="shared" si="44"/>
        <v>0</v>
      </c>
      <c r="I239" s="19">
        <f t="shared" si="44"/>
        <v>0</v>
      </c>
      <c r="J239" s="19">
        <f t="shared" si="44"/>
        <v>0</v>
      </c>
    </row>
    <row r="240" spans="1:10" hidden="1">
      <c r="A240" s="9" t="str">
        <f t="shared" si="38"/>
        <v>Jawar</v>
      </c>
      <c r="B240" s="9" t="s">
        <v>574</v>
      </c>
      <c r="C240" s="32"/>
      <c r="D240" s="19">
        <f t="shared" ref="D240:J240" si="45">B75*$C$240*D$172</f>
        <v>0</v>
      </c>
      <c r="E240" s="19">
        <f t="shared" si="45"/>
        <v>0</v>
      </c>
      <c r="F240" s="19">
        <f t="shared" si="45"/>
        <v>0</v>
      </c>
      <c r="G240" s="19">
        <f t="shared" si="45"/>
        <v>0</v>
      </c>
      <c r="H240" s="19">
        <f t="shared" si="45"/>
        <v>0</v>
      </c>
      <c r="I240" s="19">
        <f t="shared" si="45"/>
        <v>0</v>
      </c>
      <c r="J240" s="19">
        <f t="shared" si="45"/>
        <v>0</v>
      </c>
    </row>
    <row r="241" spans="1:10" hidden="1">
      <c r="A241" s="9" t="str">
        <f t="shared" si="38"/>
        <v>Sunflower</v>
      </c>
      <c r="B241" s="9" t="s">
        <v>574</v>
      </c>
      <c r="C241" s="32"/>
      <c r="D241" s="19">
        <f t="shared" ref="D241:J241" si="46">B76*$C$241*D$172</f>
        <v>0</v>
      </c>
      <c r="E241" s="19">
        <f t="shared" si="46"/>
        <v>0</v>
      </c>
      <c r="F241" s="19">
        <f t="shared" si="46"/>
        <v>0</v>
      </c>
      <c r="G241" s="19">
        <f t="shared" si="46"/>
        <v>0</v>
      </c>
      <c r="H241" s="19">
        <f t="shared" si="46"/>
        <v>0</v>
      </c>
      <c r="I241" s="19">
        <f t="shared" si="46"/>
        <v>0</v>
      </c>
      <c r="J241" s="19">
        <f t="shared" si="46"/>
        <v>0</v>
      </c>
    </row>
    <row r="242" spans="1:10" hidden="1">
      <c r="A242" s="9" t="str">
        <f t="shared" si="38"/>
        <v>Wheat</v>
      </c>
      <c r="B242" s="9" t="s">
        <v>574</v>
      </c>
      <c r="C242" s="32"/>
      <c r="D242" s="19">
        <f t="shared" ref="D242:J242" si="47">B77*$C$242*D$172</f>
        <v>0</v>
      </c>
      <c r="E242" s="19">
        <f t="shared" si="47"/>
        <v>0</v>
      </c>
      <c r="F242" s="19">
        <f t="shared" si="47"/>
        <v>0</v>
      </c>
      <c r="G242" s="19">
        <f t="shared" si="47"/>
        <v>0</v>
      </c>
      <c r="H242" s="19">
        <f t="shared" si="47"/>
        <v>0</v>
      </c>
      <c r="I242" s="19">
        <f t="shared" si="47"/>
        <v>0</v>
      </c>
      <c r="J242" s="19">
        <f t="shared" si="47"/>
        <v>0</v>
      </c>
    </row>
    <row r="243" spans="1:10" hidden="1">
      <c r="A243" s="9" t="str">
        <f t="shared" si="38"/>
        <v>Bengal Gram/Channa</v>
      </c>
      <c r="B243" s="9" t="s">
        <v>574</v>
      </c>
      <c r="C243" s="32">
        <v>4800</v>
      </c>
      <c r="D243" s="19">
        <f t="shared" ref="D243:J243" si="48">B78*$C$243*D$172</f>
        <v>0</v>
      </c>
      <c r="E243" s="19">
        <f t="shared" si="48"/>
        <v>0</v>
      </c>
      <c r="F243" s="19">
        <f t="shared" si="48"/>
        <v>0</v>
      </c>
      <c r="G243" s="19">
        <f t="shared" si="48"/>
        <v>0</v>
      </c>
      <c r="H243" s="19">
        <f t="shared" si="48"/>
        <v>0</v>
      </c>
      <c r="I243" s="19">
        <f t="shared" si="48"/>
        <v>0</v>
      </c>
      <c r="J243" s="19">
        <f t="shared" si="48"/>
        <v>0</v>
      </c>
    </row>
    <row r="244" spans="1:10" hidden="1">
      <c r="A244" s="9" t="str">
        <f t="shared" si="38"/>
        <v>Jawar</v>
      </c>
      <c r="B244" s="9" t="s">
        <v>574</v>
      </c>
      <c r="C244" s="32"/>
      <c r="D244" s="19">
        <f t="shared" ref="D244:J244" si="49">B79*$C$244*D$172</f>
        <v>0</v>
      </c>
      <c r="E244" s="19">
        <f t="shared" si="49"/>
        <v>0</v>
      </c>
      <c r="F244" s="19">
        <f t="shared" si="49"/>
        <v>0</v>
      </c>
      <c r="G244" s="19">
        <f t="shared" si="49"/>
        <v>0</v>
      </c>
      <c r="H244" s="19">
        <f t="shared" si="49"/>
        <v>0</v>
      </c>
      <c r="I244" s="19">
        <f t="shared" si="49"/>
        <v>0</v>
      </c>
      <c r="J244" s="19">
        <f t="shared" si="49"/>
        <v>0</v>
      </c>
    </row>
    <row r="245" spans="1:10" hidden="1">
      <c r="A245" s="9" t="str">
        <f t="shared" si="38"/>
        <v>Maize</v>
      </c>
      <c r="B245" s="9" t="s">
        <v>574</v>
      </c>
      <c r="C245" s="32"/>
      <c r="D245" s="19">
        <f t="shared" ref="D245:J245" si="50">B80*$C$245*D$172</f>
        <v>0</v>
      </c>
      <c r="E245" s="19">
        <f t="shared" si="50"/>
        <v>0</v>
      </c>
      <c r="F245" s="19">
        <f t="shared" si="50"/>
        <v>0</v>
      </c>
      <c r="G245" s="19">
        <f t="shared" si="50"/>
        <v>0</v>
      </c>
      <c r="H245" s="19">
        <f t="shared" si="50"/>
        <v>0</v>
      </c>
      <c r="I245" s="19">
        <f t="shared" si="50"/>
        <v>0</v>
      </c>
      <c r="J245" s="19">
        <f t="shared" si="50"/>
        <v>0</v>
      </c>
    </row>
    <row r="246" spans="1:10" hidden="1">
      <c r="A246" s="9" t="str">
        <f t="shared" si="38"/>
        <v>Safflower</v>
      </c>
      <c r="B246" s="9" t="s">
        <v>574</v>
      </c>
      <c r="C246" s="32"/>
      <c r="D246" s="19">
        <f t="shared" ref="D246:J246" si="51">B81*$C$246*D$172</f>
        <v>0</v>
      </c>
      <c r="E246" s="19">
        <f t="shared" si="51"/>
        <v>0</v>
      </c>
      <c r="F246" s="19">
        <f t="shared" si="51"/>
        <v>0</v>
      </c>
      <c r="G246" s="19">
        <f t="shared" si="51"/>
        <v>0</v>
      </c>
      <c r="H246" s="19">
        <f t="shared" si="51"/>
        <v>0</v>
      </c>
      <c r="I246" s="19">
        <f t="shared" si="51"/>
        <v>0</v>
      </c>
      <c r="J246" s="19">
        <f t="shared" si="51"/>
        <v>0</v>
      </c>
    </row>
    <row r="247" spans="1:10" hidden="1">
      <c r="A247" s="9">
        <f t="shared" si="38"/>
        <v>0</v>
      </c>
      <c r="B247" s="9" t="s">
        <v>574</v>
      </c>
      <c r="C247" s="32"/>
      <c r="D247" s="19">
        <f t="shared" ref="D247:J247" si="52">B82*$C$247*D$172</f>
        <v>0</v>
      </c>
      <c r="E247" s="19">
        <f t="shared" si="52"/>
        <v>0</v>
      </c>
      <c r="F247" s="19">
        <f t="shared" si="52"/>
        <v>0</v>
      </c>
      <c r="G247" s="19">
        <f t="shared" si="52"/>
        <v>0</v>
      </c>
      <c r="H247" s="19">
        <f t="shared" si="52"/>
        <v>0</v>
      </c>
      <c r="I247" s="19">
        <f t="shared" si="52"/>
        <v>0</v>
      </c>
      <c r="J247" s="19">
        <f t="shared" si="52"/>
        <v>0</v>
      </c>
    </row>
    <row r="248" spans="1:10" hidden="1">
      <c r="A248" s="9">
        <f t="shared" si="38"/>
        <v>0</v>
      </c>
      <c r="B248" s="9" t="s">
        <v>574</v>
      </c>
      <c r="C248" s="32"/>
      <c r="D248" s="19">
        <f t="shared" ref="D248:J248" si="53">B83*$C$248*D$172</f>
        <v>0</v>
      </c>
      <c r="E248" s="19">
        <f t="shared" si="53"/>
        <v>0</v>
      </c>
      <c r="F248" s="19">
        <f t="shared" si="53"/>
        <v>0</v>
      </c>
      <c r="G248" s="19">
        <f t="shared" si="53"/>
        <v>0</v>
      </c>
      <c r="H248" s="19">
        <f t="shared" si="53"/>
        <v>0</v>
      </c>
      <c r="I248" s="19">
        <f t="shared" si="53"/>
        <v>0</v>
      </c>
      <c r="J248" s="19">
        <f t="shared" si="53"/>
        <v>0</v>
      </c>
    </row>
    <row r="249" spans="1:10" hidden="1">
      <c r="A249" s="9">
        <f t="shared" si="38"/>
        <v>0</v>
      </c>
      <c r="B249" s="9" t="s">
        <v>574</v>
      </c>
      <c r="C249" s="32"/>
      <c r="D249" s="19">
        <f t="shared" ref="D249:J255" si="54">B84*$C249*D$172</f>
        <v>0</v>
      </c>
      <c r="E249" s="19">
        <f t="shared" si="54"/>
        <v>0</v>
      </c>
      <c r="F249" s="19">
        <f t="shared" si="54"/>
        <v>0</v>
      </c>
      <c r="G249" s="19">
        <f t="shared" si="54"/>
        <v>0</v>
      </c>
      <c r="H249" s="19">
        <f t="shared" si="54"/>
        <v>0</v>
      </c>
      <c r="I249" s="19">
        <f t="shared" si="54"/>
        <v>0</v>
      </c>
      <c r="J249" s="19">
        <f t="shared" si="54"/>
        <v>0</v>
      </c>
    </row>
    <row r="250" spans="1:10" hidden="1">
      <c r="A250" s="9" t="str">
        <f t="shared" si="38"/>
        <v>Groundnut</v>
      </c>
      <c r="B250" s="9" t="s">
        <v>574</v>
      </c>
      <c r="C250" s="32"/>
      <c r="D250" s="19">
        <f t="shared" si="54"/>
        <v>0</v>
      </c>
      <c r="E250" s="19">
        <f t="shared" si="54"/>
        <v>0</v>
      </c>
      <c r="F250" s="19">
        <f t="shared" si="54"/>
        <v>0</v>
      </c>
      <c r="G250" s="19">
        <f t="shared" si="54"/>
        <v>0</v>
      </c>
      <c r="H250" s="19">
        <f t="shared" si="54"/>
        <v>0</v>
      </c>
      <c r="I250" s="19">
        <f t="shared" si="54"/>
        <v>0</v>
      </c>
      <c r="J250" s="19">
        <f t="shared" si="54"/>
        <v>0</v>
      </c>
    </row>
    <row r="251" spans="1:10" hidden="1">
      <c r="A251" s="9">
        <f t="shared" si="38"/>
        <v>0</v>
      </c>
      <c r="B251" s="9" t="s">
        <v>574</v>
      </c>
      <c r="C251" s="32"/>
      <c r="D251" s="19">
        <f t="shared" si="54"/>
        <v>0</v>
      </c>
      <c r="E251" s="19">
        <f t="shared" si="54"/>
        <v>0</v>
      </c>
      <c r="F251" s="19">
        <f t="shared" si="54"/>
        <v>0</v>
      </c>
      <c r="G251" s="19">
        <f t="shared" si="54"/>
        <v>0</v>
      </c>
      <c r="H251" s="19">
        <f t="shared" si="54"/>
        <v>0</v>
      </c>
      <c r="I251" s="19">
        <f t="shared" si="54"/>
        <v>0</v>
      </c>
      <c r="J251" s="19">
        <f t="shared" si="54"/>
        <v>0</v>
      </c>
    </row>
    <row r="252" spans="1:10" hidden="1">
      <c r="A252" s="9">
        <f t="shared" si="38"/>
        <v>0</v>
      </c>
      <c r="B252" s="9" t="s">
        <v>574</v>
      </c>
      <c r="C252" s="32"/>
      <c r="D252" s="19">
        <f t="shared" si="54"/>
        <v>0</v>
      </c>
      <c r="E252" s="19">
        <f t="shared" si="54"/>
        <v>0</v>
      </c>
      <c r="F252" s="19">
        <f t="shared" si="54"/>
        <v>0</v>
      </c>
      <c r="G252" s="19">
        <f t="shared" si="54"/>
        <v>0</v>
      </c>
      <c r="H252" s="19">
        <f t="shared" si="54"/>
        <v>0</v>
      </c>
      <c r="I252" s="19">
        <f t="shared" si="54"/>
        <v>0</v>
      </c>
      <c r="J252" s="19">
        <f t="shared" si="54"/>
        <v>0</v>
      </c>
    </row>
    <row r="253" spans="1:10" hidden="1">
      <c r="A253" s="9">
        <f t="shared" si="38"/>
        <v>0</v>
      </c>
      <c r="B253" s="9" t="s">
        <v>574</v>
      </c>
      <c r="C253" s="32"/>
      <c r="D253" s="19">
        <f t="shared" si="54"/>
        <v>0</v>
      </c>
      <c r="E253" s="19">
        <f t="shared" si="54"/>
        <v>0</v>
      </c>
      <c r="F253" s="19">
        <f t="shared" si="54"/>
        <v>0</v>
      </c>
      <c r="G253" s="19">
        <f t="shared" si="54"/>
        <v>0</v>
      </c>
      <c r="H253" s="19">
        <f t="shared" si="54"/>
        <v>0</v>
      </c>
      <c r="I253" s="19">
        <f t="shared" si="54"/>
        <v>0</v>
      </c>
      <c r="J253" s="19">
        <f t="shared" si="54"/>
        <v>0</v>
      </c>
    </row>
    <row r="254" spans="1:10" hidden="1">
      <c r="A254" s="9">
        <f t="shared" si="38"/>
        <v>0</v>
      </c>
      <c r="B254" s="9" t="s">
        <v>574</v>
      </c>
      <c r="C254" s="32"/>
      <c r="D254" s="19">
        <f t="shared" si="54"/>
        <v>0</v>
      </c>
      <c r="E254" s="19">
        <f t="shared" si="54"/>
        <v>0</v>
      </c>
      <c r="F254" s="19">
        <f t="shared" si="54"/>
        <v>0</v>
      </c>
      <c r="G254" s="19">
        <f t="shared" si="54"/>
        <v>0</v>
      </c>
      <c r="H254" s="19">
        <f t="shared" si="54"/>
        <v>0</v>
      </c>
      <c r="I254" s="19">
        <f t="shared" si="54"/>
        <v>0</v>
      </c>
      <c r="J254" s="19">
        <f t="shared" si="54"/>
        <v>0</v>
      </c>
    </row>
    <row r="255" spans="1:10" hidden="1">
      <c r="A255" s="9">
        <f t="shared" ref="A255:A274" si="55">A201</f>
        <v>0</v>
      </c>
      <c r="B255" s="9"/>
      <c r="C255" s="32"/>
      <c r="D255" s="19">
        <f t="shared" si="54"/>
        <v>0</v>
      </c>
      <c r="E255" s="19">
        <f t="shared" si="54"/>
        <v>0</v>
      </c>
      <c r="F255" s="19">
        <f t="shared" si="54"/>
        <v>0</v>
      </c>
      <c r="G255" s="19">
        <f t="shared" si="54"/>
        <v>0</v>
      </c>
      <c r="H255" s="19">
        <f t="shared" si="54"/>
        <v>0</v>
      </c>
      <c r="I255" s="19">
        <f t="shared" si="54"/>
        <v>0</v>
      </c>
      <c r="J255" s="19">
        <f t="shared" si="54"/>
        <v>0</v>
      </c>
    </row>
    <row r="256" spans="1:10" hidden="1">
      <c r="A256" s="16" t="str">
        <f t="shared" si="55"/>
        <v>Fruit  &amp; Vegetables Crop Production Details</v>
      </c>
      <c r="B256" s="9"/>
      <c r="C256" s="32"/>
      <c r="D256" s="19"/>
      <c r="E256" s="19"/>
      <c r="F256" s="19"/>
      <c r="G256" s="19"/>
      <c r="H256" s="19"/>
      <c r="I256" s="19"/>
      <c r="J256" s="19"/>
    </row>
    <row r="257" spans="1:10" hidden="1">
      <c r="A257" s="9" t="str">
        <f t="shared" si="55"/>
        <v>Onion</v>
      </c>
      <c r="B257" s="9" t="s">
        <v>574</v>
      </c>
      <c r="C257" s="32">
        <v>1800</v>
      </c>
      <c r="D257" s="19">
        <f t="shared" ref="D257:D274" si="56">B92*$C257*D$172</f>
        <v>0</v>
      </c>
      <c r="E257" s="19">
        <f t="shared" ref="E257:E274" si="57">C92*$C257*E$172</f>
        <v>0</v>
      </c>
      <c r="F257" s="19">
        <f t="shared" ref="F257:F274" si="58">D92*$C257*F$172</f>
        <v>0</v>
      </c>
      <c r="G257" s="19">
        <f t="shared" ref="G257:G274" si="59">E92*$C257*G$172</f>
        <v>0</v>
      </c>
      <c r="H257" s="19">
        <f t="shared" ref="H257:H274" si="60">F92*$C257*H$172</f>
        <v>0</v>
      </c>
      <c r="I257" s="19">
        <f t="shared" ref="I257:I274" si="61">G92*$C257*I$172</f>
        <v>0</v>
      </c>
      <c r="J257" s="19">
        <f t="shared" ref="J257:J274" si="62">H92*$C257*J$172</f>
        <v>0</v>
      </c>
    </row>
    <row r="258" spans="1:10" hidden="1">
      <c r="A258" s="9" t="str">
        <f t="shared" si="55"/>
        <v>Tomato</v>
      </c>
      <c r="B258" s="9" t="s">
        <v>574</v>
      </c>
      <c r="C258" s="32">
        <v>800</v>
      </c>
      <c r="D258" s="19">
        <f t="shared" si="56"/>
        <v>0</v>
      </c>
      <c r="E258" s="19">
        <f t="shared" si="57"/>
        <v>0</v>
      </c>
      <c r="F258" s="19">
        <f t="shared" si="58"/>
        <v>0</v>
      </c>
      <c r="G258" s="19">
        <f t="shared" si="59"/>
        <v>0</v>
      </c>
      <c r="H258" s="19">
        <f t="shared" si="60"/>
        <v>0</v>
      </c>
      <c r="I258" s="19">
        <f t="shared" si="61"/>
        <v>0</v>
      </c>
      <c r="J258" s="19">
        <f t="shared" si="62"/>
        <v>0</v>
      </c>
    </row>
    <row r="259" spans="1:10" hidden="1">
      <c r="A259" s="9" t="str">
        <f t="shared" si="55"/>
        <v>Okra</v>
      </c>
      <c r="B259" s="9" t="s">
        <v>574</v>
      </c>
      <c r="C259" s="32">
        <v>1300</v>
      </c>
      <c r="D259" s="19">
        <f t="shared" si="56"/>
        <v>0</v>
      </c>
      <c r="E259" s="19">
        <f t="shared" si="57"/>
        <v>0</v>
      </c>
      <c r="F259" s="19">
        <f t="shared" si="58"/>
        <v>0</v>
      </c>
      <c r="G259" s="19">
        <f t="shared" si="59"/>
        <v>0</v>
      </c>
      <c r="H259" s="19">
        <f t="shared" si="60"/>
        <v>0</v>
      </c>
      <c r="I259" s="19">
        <f t="shared" si="61"/>
        <v>0</v>
      </c>
      <c r="J259" s="19">
        <f t="shared" si="62"/>
        <v>0</v>
      </c>
    </row>
    <row r="260" spans="1:10" hidden="1">
      <c r="A260" s="9" t="str">
        <f t="shared" si="55"/>
        <v>Chilli</v>
      </c>
      <c r="B260" s="9" t="s">
        <v>574</v>
      </c>
      <c r="C260" s="32">
        <v>2800</v>
      </c>
      <c r="D260" s="19">
        <f t="shared" si="56"/>
        <v>0</v>
      </c>
      <c r="E260" s="19">
        <f t="shared" si="57"/>
        <v>0</v>
      </c>
      <c r="F260" s="19">
        <f t="shared" si="58"/>
        <v>0</v>
      </c>
      <c r="G260" s="19">
        <f t="shared" si="59"/>
        <v>0</v>
      </c>
      <c r="H260" s="19">
        <f t="shared" si="60"/>
        <v>0</v>
      </c>
      <c r="I260" s="19">
        <f t="shared" si="61"/>
        <v>0</v>
      </c>
      <c r="J260" s="19">
        <f t="shared" si="62"/>
        <v>0</v>
      </c>
    </row>
    <row r="261" spans="1:10" hidden="1">
      <c r="A261" s="9" t="str">
        <f t="shared" si="55"/>
        <v>Potato</v>
      </c>
      <c r="B261" s="9" t="s">
        <v>574</v>
      </c>
      <c r="C261" s="32">
        <v>1300</v>
      </c>
      <c r="D261" s="19">
        <f t="shared" si="56"/>
        <v>0</v>
      </c>
      <c r="E261" s="19">
        <f t="shared" si="57"/>
        <v>0</v>
      </c>
      <c r="F261" s="19">
        <f t="shared" si="58"/>
        <v>0</v>
      </c>
      <c r="G261" s="19">
        <f t="shared" si="59"/>
        <v>0</v>
      </c>
      <c r="H261" s="19">
        <f t="shared" si="60"/>
        <v>0</v>
      </c>
      <c r="I261" s="19">
        <f t="shared" si="61"/>
        <v>0</v>
      </c>
      <c r="J261" s="19">
        <f t="shared" si="62"/>
        <v>0</v>
      </c>
    </row>
    <row r="262" spans="1:10" hidden="1">
      <c r="A262" s="9">
        <f t="shared" si="55"/>
        <v>0</v>
      </c>
      <c r="B262" s="9" t="s">
        <v>574</v>
      </c>
      <c r="C262" s="32"/>
      <c r="D262" s="19">
        <f t="shared" si="56"/>
        <v>0</v>
      </c>
      <c r="E262" s="19">
        <f t="shared" si="57"/>
        <v>0</v>
      </c>
      <c r="F262" s="19">
        <f t="shared" si="58"/>
        <v>0</v>
      </c>
      <c r="G262" s="19">
        <f t="shared" si="59"/>
        <v>0</v>
      </c>
      <c r="H262" s="19">
        <f t="shared" si="60"/>
        <v>0</v>
      </c>
      <c r="I262" s="19">
        <f t="shared" si="61"/>
        <v>0</v>
      </c>
      <c r="J262" s="19">
        <f t="shared" si="62"/>
        <v>0</v>
      </c>
    </row>
    <row r="263" spans="1:10" hidden="1">
      <c r="A263" s="9">
        <f t="shared" si="55"/>
        <v>0</v>
      </c>
      <c r="B263" s="9" t="s">
        <v>574</v>
      </c>
      <c r="C263" s="32"/>
      <c r="D263" s="19">
        <f t="shared" si="56"/>
        <v>0</v>
      </c>
      <c r="E263" s="19">
        <f t="shared" si="57"/>
        <v>0</v>
      </c>
      <c r="F263" s="19">
        <f t="shared" si="58"/>
        <v>0</v>
      </c>
      <c r="G263" s="19">
        <f t="shared" si="59"/>
        <v>0</v>
      </c>
      <c r="H263" s="19">
        <f t="shared" si="60"/>
        <v>0</v>
      </c>
      <c r="I263" s="19">
        <f t="shared" si="61"/>
        <v>0</v>
      </c>
      <c r="J263" s="19">
        <f t="shared" si="62"/>
        <v>0</v>
      </c>
    </row>
    <row r="264" spans="1:10" hidden="1">
      <c r="A264" s="9">
        <f t="shared" si="55"/>
        <v>0</v>
      </c>
      <c r="B264" s="9" t="s">
        <v>574</v>
      </c>
      <c r="C264" s="32"/>
      <c r="D264" s="19">
        <f t="shared" si="56"/>
        <v>0</v>
      </c>
      <c r="E264" s="19">
        <f t="shared" si="57"/>
        <v>0</v>
      </c>
      <c r="F264" s="19">
        <f t="shared" si="58"/>
        <v>0</v>
      </c>
      <c r="G264" s="19">
        <f t="shared" si="59"/>
        <v>0</v>
      </c>
      <c r="H264" s="19">
        <f t="shared" si="60"/>
        <v>0</v>
      </c>
      <c r="I264" s="19">
        <f t="shared" si="61"/>
        <v>0</v>
      </c>
      <c r="J264" s="19">
        <f t="shared" si="62"/>
        <v>0</v>
      </c>
    </row>
    <row r="265" spans="1:10" hidden="1">
      <c r="A265" s="9">
        <f t="shared" si="55"/>
        <v>0</v>
      </c>
      <c r="B265" s="9" t="s">
        <v>574</v>
      </c>
      <c r="C265" s="32"/>
      <c r="D265" s="19">
        <f t="shared" si="56"/>
        <v>0</v>
      </c>
      <c r="E265" s="19">
        <f t="shared" si="57"/>
        <v>0</v>
      </c>
      <c r="F265" s="19">
        <f t="shared" si="58"/>
        <v>0</v>
      </c>
      <c r="G265" s="19">
        <f t="shared" si="59"/>
        <v>0</v>
      </c>
      <c r="H265" s="19">
        <f t="shared" si="60"/>
        <v>0</v>
      </c>
      <c r="I265" s="19">
        <f t="shared" si="61"/>
        <v>0</v>
      </c>
      <c r="J265" s="19">
        <f t="shared" si="62"/>
        <v>0</v>
      </c>
    </row>
    <row r="266" spans="1:10" hidden="1">
      <c r="A266" s="9" t="str">
        <f t="shared" si="55"/>
        <v>Onion</v>
      </c>
      <c r="B266" s="9" t="s">
        <v>574</v>
      </c>
      <c r="C266" s="32">
        <v>1800</v>
      </c>
      <c r="D266" s="19">
        <f t="shared" si="56"/>
        <v>0</v>
      </c>
      <c r="E266" s="19">
        <f t="shared" si="57"/>
        <v>0</v>
      </c>
      <c r="F266" s="19">
        <f t="shared" si="58"/>
        <v>0</v>
      </c>
      <c r="G266" s="19">
        <f t="shared" si="59"/>
        <v>0</v>
      </c>
      <c r="H266" s="19">
        <f t="shared" si="60"/>
        <v>0</v>
      </c>
      <c r="I266" s="19">
        <f t="shared" si="61"/>
        <v>0</v>
      </c>
      <c r="J266" s="19">
        <f t="shared" si="62"/>
        <v>0</v>
      </c>
    </row>
    <row r="267" spans="1:10" hidden="1">
      <c r="A267" s="9" t="str">
        <f t="shared" si="55"/>
        <v>Tomato</v>
      </c>
      <c r="B267" s="9" t="s">
        <v>574</v>
      </c>
      <c r="C267" s="32">
        <v>800</v>
      </c>
      <c r="D267" s="19">
        <f t="shared" si="56"/>
        <v>0</v>
      </c>
      <c r="E267" s="19">
        <f t="shared" si="57"/>
        <v>0</v>
      </c>
      <c r="F267" s="19">
        <f t="shared" si="58"/>
        <v>0</v>
      </c>
      <c r="G267" s="19">
        <f t="shared" si="59"/>
        <v>0</v>
      </c>
      <c r="H267" s="19">
        <f t="shared" si="60"/>
        <v>0</v>
      </c>
      <c r="I267" s="19">
        <f t="shared" si="61"/>
        <v>0</v>
      </c>
      <c r="J267" s="19">
        <f t="shared" si="62"/>
        <v>0</v>
      </c>
    </row>
    <row r="268" spans="1:10" hidden="1">
      <c r="A268" s="9" t="str">
        <f t="shared" si="55"/>
        <v>Okra</v>
      </c>
      <c r="B268" s="9" t="s">
        <v>574</v>
      </c>
      <c r="C268" s="32">
        <v>1300</v>
      </c>
      <c r="D268" s="19">
        <f t="shared" si="56"/>
        <v>0</v>
      </c>
      <c r="E268" s="19">
        <f t="shared" si="57"/>
        <v>0</v>
      </c>
      <c r="F268" s="19">
        <f t="shared" si="58"/>
        <v>0</v>
      </c>
      <c r="G268" s="19">
        <f t="shared" si="59"/>
        <v>0</v>
      </c>
      <c r="H268" s="19">
        <f t="shared" si="60"/>
        <v>0</v>
      </c>
      <c r="I268" s="19">
        <f t="shared" si="61"/>
        <v>0</v>
      </c>
      <c r="J268" s="19">
        <f t="shared" si="62"/>
        <v>0</v>
      </c>
    </row>
    <row r="269" spans="1:10" hidden="1">
      <c r="A269" s="9" t="str">
        <f t="shared" si="55"/>
        <v>Chilli</v>
      </c>
      <c r="B269" s="9" t="s">
        <v>574</v>
      </c>
      <c r="C269" s="32">
        <v>2800</v>
      </c>
      <c r="D269" s="19">
        <f t="shared" si="56"/>
        <v>0</v>
      </c>
      <c r="E269" s="19">
        <f t="shared" si="57"/>
        <v>0</v>
      </c>
      <c r="F269" s="19">
        <f t="shared" si="58"/>
        <v>0</v>
      </c>
      <c r="G269" s="19">
        <f t="shared" si="59"/>
        <v>0</v>
      </c>
      <c r="H269" s="19">
        <f t="shared" si="60"/>
        <v>0</v>
      </c>
      <c r="I269" s="19">
        <f t="shared" si="61"/>
        <v>0</v>
      </c>
      <c r="J269" s="19">
        <f t="shared" si="62"/>
        <v>0</v>
      </c>
    </row>
    <row r="270" spans="1:10" hidden="1">
      <c r="A270" s="9" t="str">
        <f t="shared" si="55"/>
        <v>Brinjal</v>
      </c>
      <c r="B270" s="9" t="s">
        <v>574</v>
      </c>
      <c r="C270" s="32">
        <v>1800</v>
      </c>
      <c r="D270" s="19">
        <f t="shared" si="56"/>
        <v>0</v>
      </c>
      <c r="E270" s="19">
        <f t="shared" si="57"/>
        <v>0</v>
      </c>
      <c r="F270" s="19">
        <f t="shared" si="58"/>
        <v>0</v>
      </c>
      <c r="G270" s="19">
        <f t="shared" si="59"/>
        <v>0</v>
      </c>
      <c r="H270" s="19">
        <f t="shared" si="60"/>
        <v>0</v>
      </c>
      <c r="I270" s="19">
        <f t="shared" si="61"/>
        <v>0</v>
      </c>
      <c r="J270" s="19">
        <f t="shared" si="62"/>
        <v>0</v>
      </c>
    </row>
    <row r="271" spans="1:10" hidden="1">
      <c r="A271" s="9" t="str">
        <f t="shared" si="55"/>
        <v>Cashew</v>
      </c>
      <c r="B271" s="9" t="s">
        <v>574</v>
      </c>
      <c r="C271" s="32"/>
      <c r="D271" s="19">
        <f t="shared" si="56"/>
        <v>0</v>
      </c>
      <c r="E271" s="19">
        <f t="shared" si="57"/>
        <v>0</v>
      </c>
      <c r="F271" s="19">
        <f t="shared" si="58"/>
        <v>0</v>
      </c>
      <c r="G271" s="19">
        <f t="shared" si="59"/>
        <v>0</v>
      </c>
      <c r="H271" s="19">
        <f t="shared" si="60"/>
        <v>0</v>
      </c>
      <c r="I271" s="19">
        <f t="shared" si="61"/>
        <v>0</v>
      </c>
      <c r="J271" s="19">
        <f t="shared" si="62"/>
        <v>0</v>
      </c>
    </row>
    <row r="272" spans="1:10" hidden="1">
      <c r="A272" s="9">
        <f t="shared" si="55"/>
        <v>0</v>
      </c>
      <c r="B272" s="9" t="s">
        <v>574</v>
      </c>
      <c r="C272" s="32"/>
      <c r="D272" s="19">
        <f t="shared" si="56"/>
        <v>0</v>
      </c>
      <c r="E272" s="19">
        <f t="shared" si="57"/>
        <v>0</v>
      </c>
      <c r="F272" s="19">
        <f t="shared" si="58"/>
        <v>0</v>
      </c>
      <c r="G272" s="19">
        <f t="shared" si="59"/>
        <v>0</v>
      </c>
      <c r="H272" s="19">
        <f t="shared" si="60"/>
        <v>0</v>
      </c>
      <c r="I272" s="19">
        <f t="shared" si="61"/>
        <v>0</v>
      </c>
      <c r="J272" s="19">
        <f t="shared" si="62"/>
        <v>0</v>
      </c>
    </row>
    <row r="273" spans="1:10" hidden="1">
      <c r="A273" s="9">
        <f t="shared" si="55"/>
        <v>0</v>
      </c>
      <c r="B273" s="9" t="s">
        <v>574</v>
      </c>
      <c r="C273" s="32"/>
      <c r="D273" s="19">
        <f t="shared" si="56"/>
        <v>0</v>
      </c>
      <c r="E273" s="19">
        <f t="shared" si="57"/>
        <v>0</v>
      </c>
      <c r="F273" s="19">
        <f t="shared" si="58"/>
        <v>0</v>
      </c>
      <c r="G273" s="19">
        <f t="shared" si="59"/>
        <v>0</v>
      </c>
      <c r="H273" s="19">
        <f t="shared" si="60"/>
        <v>0</v>
      </c>
      <c r="I273" s="19">
        <f t="shared" si="61"/>
        <v>0</v>
      </c>
      <c r="J273" s="19">
        <f t="shared" si="62"/>
        <v>0</v>
      </c>
    </row>
    <row r="274" spans="1:10" hidden="1">
      <c r="A274" s="9">
        <f t="shared" si="55"/>
        <v>0</v>
      </c>
      <c r="B274" s="9" t="s">
        <v>574</v>
      </c>
      <c r="C274" s="32"/>
      <c r="D274" s="19">
        <f t="shared" si="56"/>
        <v>0</v>
      </c>
      <c r="E274" s="19">
        <f t="shared" si="57"/>
        <v>0</v>
      </c>
      <c r="F274" s="19">
        <f t="shared" si="58"/>
        <v>0</v>
      </c>
      <c r="G274" s="19">
        <f t="shared" si="59"/>
        <v>0</v>
      </c>
      <c r="H274" s="19">
        <f t="shared" si="60"/>
        <v>0</v>
      </c>
      <c r="I274" s="19">
        <f t="shared" si="61"/>
        <v>0</v>
      </c>
      <c r="J274" s="19">
        <f t="shared" si="62"/>
        <v>0</v>
      </c>
    </row>
    <row r="275" spans="1:10">
      <c r="A275" s="9" t="str">
        <f>A224</f>
        <v>Cashew</v>
      </c>
      <c r="B275" s="9" t="s">
        <v>574</v>
      </c>
      <c r="C275" s="32">
        <v>16500</v>
      </c>
      <c r="D275" s="19">
        <f t="shared" ref="D275:J280" si="63">B113*$C275*D$172</f>
        <v>0</v>
      </c>
      <c r="E275" s="19">
        <f t="shared" si="63"/>
        <v>0</v>
      </c>
      <c r="F275" s="19">
        <f t="shared" si="63"/>
        <v>0</v>
      </c>
      <c r="G275" s="19">
        <f t="shared" si="63"/>
        <v>0</v>
      </c>
      <c r="H275" s="19">
        <f t="shared" si="63"/>
        <v>0</v>
      </c>
      <c r="I275" s="19">
        <f t="shared" si="63"/>
        <v>0</v>
      </c>
      <c r="J275" s="19">
        <f t="shared" si="63"/>
        <v>0</v>
      </c>
    </row>
    <row r="276" spans="1:10" hidden="1">
      <c r="A276" s="9" t="str">
        <f>A225</f>
        <v>Custard Apple</v>
      </c>
      <c r="B276" s="9" t="s">
        <v>574</v>
      </c>
      <c r="C276" s="32"/>
      <c r="D276" s="19">
        <f t="shared" si="63"/>
        <v>0</v>
      </c>
      <c r="E276" s="19">
        <f t="shared" si="63"/>
        <v>0</v>
      </c>
      <c r="F276" s="19">
        <f t="shared" si="63"/>
        <v>0</v>
      </c>
      <c r="G276" s="19">
        <f t="shared" si="63"/>
        <v>0</v>
      </c>
      <c r="H276" s="19">
        <f t="shared" si="63"/>
        <v>0</v>
      </c>
      <c r="I276" s="19">
        <f t="shared" si="63"/>
        <v>0</v>
      </c>
      <c r="J276" s="19">
        <f t="shared" si="63"/>
        <v>0</v>
      </c>
    </row>
    <row r="277" spans="1:10" hidden="1">
      <c r="A277" s="9" t="str">
        <f>A226</f>
        <v>Guava</v>
      </c>
      <c r="B277" s="9" t="s">
        <v>574</v>
      </c>
      <c r="C277" s="32"/>
      <c r="D277" s="19">
        <f t="shared" si="63"/>
        <v>0</v>
      </c>
      <c r="E277" s="19">
        <f t="shared" si="63"/>
        <v>0</v>
      </c>
      <c r="F277" s="19">
        <f t="shared" si="63"/>
        <v>0</v>
      </c>
      <c r="G277" s="19">
        <f t="shared" si="63"/>
        <v>0</v>
      </c>
      <c r="H277" s="19">
        <f t="shared" si="63"/>
        <v>0</v>
      </c>
      <c r="I277" s="19">
        <f t="shared" si="63"/>
        <v>0</v>
      </c>
      <c r="J277" s="19">
        <f t="shared" si="63"/>
        <v>0</v>
      </c>
    </row>
    <row r="278" spans="1:10" hidden="1">
      <c r="A278" s="9" t="str">
        <f>A227</f>
        <v>Citrus</v>
      </c>
      <c r="B278" s="9" t="s">
        <v>574</v>
      </c>
      <c r="C278" s="32"/>
      <c r="D278" s="19">
        <f t="shared" si="63"/>
        <v>0</v>
      </c>
      <c r="E278" s="19">
        <f t="shared" si="63"/>
        <v>0</v>
      </c>
      <c r="F278" s="19">
        <f t="shared" si="63"/>
        <v>0</v>
      </c>
      <c r="G278" s="19">
        <f t="shared" si="63"/>
        <v>0</v>
      </c>
      <c r="H278" s="19">
        <f t="shared" si="63"/>
        <v>0</v>
      </c>
      <c r="I278" s="19">
        <f t="shared" si="63"/>
        <v>0</v>
      </c>
      <c r="J278" s="19">
        <f t="shared" si="63"/>
        <v>0</v>
      </c>
    </row>
    <row r="279" spans="1:10" hidden="1">
      <c r="A279" s="9">
        <f>A228</f>
        <v>0</v>
      </c>
      <c r="B279" s="9" t="s">
        <v>574</v>
      </c>
      <c r="C279" s="32"/>
      <c r="D279" s="19">
        <f t="shared" si="63"/>
        <v>0</v>
      </c>
      <c r="E279" s="19">
        <f t="shared" si="63"/>
        <v>0</v>
      </c>
      <c r="F279" s="19">
        <f t="shared" si="63"/>
        <v>0</v>
      </c>
      <c r="G279" s="19">
        <f t="shared" si="63"/>
        <v>0</v>
      </c>
      <c r="H279" s="19">
        <f t="shared" si="63"/>
        <v>0</v>
      </c>
      <c r="I279" s="19">
        <f t="shared" si="63"/>
        <v>0</v>
      </c>
      <c r="J279" s="19">
        <f t="shared" si="63"/>
        <v>0</v>
      </c>
    </row>
    <row r="280" spans="1:10" hidden="1">
      <c r="A280" s="9">
        <f>A230</f>
        <v>0</v>
      </c>
      <c r="B280" s="9"/>
      <c r="C280" s="32"/>
      <c r="D280" s="19">
        <f t="shared" si="63"/>
        <v>0</v>
      </c>
      <c r="E280" s="19">
        <f t="shared" si="63"/>
        <v>0</v>
      </c>
      <c r="F280" s="19">
        <f t="shared" si="63"/>
        <v>0</v>
      </c>
      <c r="G280" s="19">
        <f t="shared" si="63"/>
        <v>0</v>
      </c>
      <c r="H280" s="19">
        <f t="shared" si="63"/>
        <v>0</v>
      </c>
      <c r="I280" s="19">
        <f t="shared" si="63"/>
        <v>0</v>
      </c>
      <c r="J280" s="19">
        <f t="shared" si="63"/>
        <v>0</v>
      </c>
    </row>
    <row r="281" spans="1:10" hidden="1">
      <c r="A281" s="9"/>
      <c r="B281" s="9"/>
      <c r="C281" s="32"/>
      <c r="D281" s="19"/>
      <c r="E281" s="19"/>
      <c r="F281" s="19"/>
      <c r="G281" s="19"/>
      <c r="H281" s="19"/>
      <c r="I281" s="19"/>
      <c r="J281" s="19"/>
    </row>
    <row r="282" spans="1:10">
      <c r="A282" s="9" t="s">
        <v>577</v>
      </c>
      <c r="B282" s="31">
        <v>2</v>
      </c>
      <c r="C282" s="31">
        <v>300</v>
      </c>
      <c r="D282" s="19">
        <f t="shared" ref="D282:J282" si="64">B10*$B$282*$C$282*D172</f>
        <v>0</v>
      </c>
      <c r="E282" s="19">
        <f t="shared" si="64"/>
        <v>0</v>
      </c>
      <c r="F282" s="19">
        <f t="shared" si="64"/>
        <v>0</v>
      </c>
      <c r="G282" s="19">
        <f t="shared" si="64"/>
        <v>0</v>
      </c>
      <c r="H282" s="19">
        <f t="shared" si="64"/>
        <v>0</v>
      </c>
      <c r="I282" s="19">
        <f t="shared" si="64"/>
        <v>0</v>
      </c>
      <c r="J282" s="19">
        <f t="shared" si="64"/>
        <v>0</v>
      </c>
    </row>
    <row r="283" spans="1:10" hidden="1">
      <c r="A283" s="9" t="s">
        <v>578</v>
      </c>
      <c r="B283" s="9">
        <f>'2.Capex Details'!H55*0.746*8</f>
        <v>0</v>
      </c>
      <c r="C283" s="31">
        <v>0</v>
      </c>
      <c r="D283" s="19">
        <f t="shared" ref="D283:J283" si="65">$B$283*$C$283*D172*B10</f>
        <v>0</v>
      </c>
      <c r="E283" s="19">
        <f t="shared" si="65"/>
        <v>0</v>
      </c>
      <c r="F283" s="19">
        <f t="shared" si="65"/>
        <v>0</v>
      </c>
      <c r="G283" s="19">
        <f t="shared" si="65"/>
        <v>0</v>
      </c>
      <c r="H283" s="19">
        <f t="shared" si="65"/>
        <v>0</v>
      </c>
      <c r="I283" s="19">
        <f t="shared" si="65"/>
        <v>0</v>
      </c>
      <c r="J283" s="19">
        <f t="shared" si="65"/>
        <v>0</v>
      </c>
    </row>
    <row r="284" spans="1:10">
      <c r="A284" s="9" t="s">
        <v>738</v>
      </c>
      <c r="B284" s="9"/>
      <c r="C284" s="31">
        <v>50</v>
      </c>
      <c r="D284" s="19">
        <f>SUM(B113)*$C$284*D172</f>
        <v>0</v>
      </c>
      <c r="E284" s="19">
        <f t="shared" ref="E284:J284" si="66">SUM(C113)*$C$284*E172</f>
        <v>0</v>
      </c>
      <c r="F284" s="19">
        <f t="shared" si="66"/>
        <v>0</v>
      </c>
      <c r="G284" s="19">
        <f t="shared" si="66"/>
        <v>0</v>
      </c>
      <c r="H284" s="19">
        <f t="shared" si="66"/>
        <v>0</v>
      </c>
      <c r="I284" s="19">
        <f t="shared" si="66"/>
        <v>0</v>
      </c>
      <c r="J284" s="19">
        <f t="shared" si="66"/>
        <v>0</v>
      </c>
    </row>
    <row r="285" spans="1:10">
      <c r="A285" s="9" t="s">
        <v>579</v>
      </c>
      <c r="B285" s="9"/>
      <c r="C285" s="31">
        <v>100</v>
      </c>
      <c r="D285" s="19">
        <f>SUM(B113)*$C$285*D172</f>
        <v>0</v>
      </c>
      <c r="E285" s="19">
        <f t="shared" ref="E285:J285" si="67">SUM(C113)*$C$285*E172</f>
        <v>0</v>
      </c>
      <c r="F285" s="19">
        <f t="shared" si="67"/>
        <v>0</v>
      </c>
      <c r="G285" s="19">
        <f t="shared" si="67"/>
        <v>0</v>
      </c>
      <c r="H285" s="19">
        <f t="shared" si="67"/>
        <v>0</v>
      </c>
      <c r="I285" s="19">
        <f t="shared" si="67"/>
        <v>0</v>
      </c>
      <c r="J285" s="19">
        <f t="shared" si="67"/>
        <v>0</v>
      </c>
    </row>
    <row r="286" spans="1:10" hidden="1">
      <c r="A286" s="9"/>
      <c r="B286" s="9"/>
      <c r="C286" s="9"/>
      <c r="D286" s="9"/>
      <c r="E286" s="9"/>
      <c r="F286" s="9"/>
      <c r="G286" s="9"/>
      <c r="H286" s="9"/>
      <c r="I286" s="9"/>
      <c r="J286" s="9"/>
    </row>
    <row r="287" spans="1:10" hidden="1">
      <c r="A287" s="9"/>
      <c r="B287" s="9"/>
      <c r="C287" s="9"/>
      <c r="D287" s="9"/>
      <c r="E287" s="9"/>
      <c r="F287" s="9"/>
      <c r="G287" s="9"/>
      <c r="H287" s="9"/>
      <c r="I287" s="9"/>
      <c r="J287" s="9"/>
    </row>
    <row r="288" spans="1:10" hidden="1">
      <c r="A288" s="9"/>
      <c r="B288" s="9"/>
      <c r="C288" s="9"/>
      <c r="D288" s="9"/>
      <c r="E288" s="9"/>
      <c r="F288" s="9"/>
      <c r="G288" s="9"/>
      <c r="H288" s="9"/>
      <c r="I288" s="9"/>
      <c r="J288" s="9"/>
    </row>
    <row r="289" spans="1:14">
      <c r="A289" s="14" t="s">
        <v>580</v>
      </c>
      <c r="B289" s="9"/>
      <c r="C289" s="9"/>
      <c r="D289" s="71"/>
      <c r="E289" s="71">
        <f>'5.Closing Stock &amp; W Capital'!F7</f>
        <v>0</v>
      </c>
      <c r="F289" s="71">
        <f>'5.Closing Stock &amp; W Capital'!G7</f>
        <v>0</v>
      </c>
      <c r="G289" s="71">
        <f>'5.Closing Stock &amp; W Capital'!H7</f>
        <v>0</v>
      </c>
      <c r="H289" s="71">
        <f>'5.Closing Stock &amp; W Capital'!I7</f>
        <v>0</v>
      </c>
      <c r="I289" s="71">
        <f>'5.Closing Stock &amp; W Capital'!J7</f>
        <v>0</v>
      </c>
      <c r="J289" s="71">
        <f>'5.Closing Stock &amp; W Capital'!K7</f>
        <v>0</v>
      </c>
    </row>
    <row r="290" spans="1:14">
      <c r="A290" s="14" t="s">
        <v>581</v>
      </c>
      <c r="B290" s="9"/>
      <c r="C290" s="71"/>
      <c r="D290" s="71">
        <f>'5.Closing Stock &amp; W Capital'!E16</f>
        <v>0</v>
      </c>
      <c r="E290" s="71">
        <f>'5.Closing Stock &amp; W Capital'!F16</f>
        <v>0</v>
      </c>
      <c r="F290" s="71">
        <f>'5.Closing Stock &amp; W Capital'!G16</f>
        <v>0</v>
      </c>
      <c r="G290" s="71">
        <f>'5.Closing Stock &amp; W Capital'!H16</f>
        <v>0</v>
      </c>
      <c r="H290" s="71">
        <f>'5.Closing Stock &amp; W Capital'!I16</f>
        <v>0</v>
      </c>
      <c r="I290" s="71">
        <f>'5.Closing Stock &amp; W Capital'!J16</f>
        <v>0</v>
      </c>
      <c r="J290" s="71">
        <f>'5.Closing Stock &amp; W Capital'!K16</f>
        <v>0</v>
      </c>
    </row>
    <row r="291" spans="1:14">
      <c r="A291" s="14"/>
      <c r="B291" s="9"/>
      <c r="C291" s="74"/>
      <c r="D291" s="71"/>
      <c r="E291" s="71"/>
      <c r="F291" s="71"/>
      <c r="G291" s="71"/>
      <c r="H291" s="71"/>
      <c r="I291" s="71"/>
      <c r="J291" s="71"/>
    </row>
    <row r="292" spans="1:14">
      <c r="A292" s="16" t="s">
        <v>346</v>
      </c>
      <c r="B292" s="16"/>
      <c r="C292" s="16"/>
      <c r="D292" s="18">
        <f t="shared" ref="D292:J292" si="68">SUM(D233:D289)-D290</f>
        <v>0</v>
      </c>
      <c r="E292" s="18">
        <f t="shared" si="68"/>
        <v>0</v>
      </c>
      <c r="F292" s="18">
        <f t="shared" si="68"/>
        <v>0</v>
      </c>
      <c r="G292" s="18">
        <f t="shared" si="68"/>
        <v>0</v>
      </c>
      <c r="H292" s="18">
        <f t="shared" si="68"/>
        <v>0</v>
      </c>
      <c r="I292" s="18">
        <f t="shared" si="68"/>
        <v>0</v>
      </c>
      <c r="J292" s="18">
        <f t="shared" si="68"/>
        <v>0</v>
      </c>
    </row>
    <row r="293" spans="1:14">
      <c r="A293" s="16" t="s">
        <v>347</v>
      </c>
      <c r="B293" s="9"/>
      <c r="C293" s="9"/>
      <c r="D293" s="75"/>
      <c r="E293" s="75"/>
      <c r="F293" s="75"/>
      <c r="G293" s="75"/>
      <c r="H293" s="75"/>
      <c r="I293" s="9"/>
      <c r="J293" s="9"/>
    </row>
    <row r="294" spans="1:14" hidden="1">
      <c r="A294" s="9" t="s">
        <v>582</v>
      </c>
      <c r="B294" s="31">
        <v>0</v>
      </c>
      <c r="C294" s="32">
        <v>15000</v>
      </c>
      <c r="D294" s="19">
        <f t="shared" ref="D294:J294" si="69">$B$294*$C$294*12*D172</f>
        <v>0</v>
      </c>
      <c r="E294" s="19">
        <f t="shared" si="69"/>
        <v>0</v>
      </c>
      <c r="F294" s="19">
        <f t="shared" si="69"/>
        <v>0</v>
      </c>
      <c r="G294" s="19">
        <f t="shared" si="69"/>
        <v>0</v>
      </c>
      <c r="H294" s="19">
        <f t="shared" si="69"/>
        <v>0</v>
      </c>
      <c r="I294" s="19">
        <f t="shared" si="69"/>
        <v>0</v>
      </c>
      <c r="J294" s="19">
        <f t="shared" si="69"/>
        <v>0</v>
      </c>
    </row>
    <row r="295" spans="1:14" ht="30" hidden="1" customHeight="1">
      <c r="A295" s="9"/>
      <c r="B295" s="31"/>
      <c r="C295" s="32"/>
      <c r="D295" s="19"/>
      <c r="E295" s="19"/>
      <c r="F295" s="19"/>
      <c r="G295" s="19"/>
      <c r="H295" s="19"/>
      <c r="I295" s="19"/>
      <c r="J295" s="19"/>
      <c r="N295" s="24"/>
    </row>
    <row r="296" spans="1:14" hidden="1">
      <c r="A296" s="9"/>
      <c r="B296" s="31"/>
      <c r="C296" s="32"/>
      <c r="D296" s="19"/>
      <c r="E296" s="19"/>
      <c r="F296" s="19"/>
      <c r="G296" s="19"/>
      <c r="H296" s="19"/>
      <c r="I296" s="19"/>
      <c r="J296" s="19"/>
    </row>
    <row r="297" spans="1:14" hidden="1">
      <c r="A297" s="9"/>
      <c r="B297" s="31"/>
      <c r="C297" s="32"/>
      <c r="D297" s="19"/>
      <c r="E297" s="19"/>
      <c r="F297" s="19"/>
      <c r="G297" s="19"/>
      <c r="H297" s="19"/>
      <c r="I297" s="19"/>
      <c r="J297" s="19"/>
    </row>
    <row r="298" spans="1:14" hidden="1">
      <c r="A298" s="9"/>
      <c r="B298" s="31"/>
      <c r="C298" s="32"/>
      <c r="D298" s="19"/>
      <c r="E298" s="19"/>
      <c r="F298" s="19"/>
      <c r="G298" s="19"/>
      <c r="H298" s="19"/>
      <c r="I298" s="19"/>
      <c r="J298" s="19"/>
    </row>
    <row r="299" spans="1:14" hidden="1">
      <c r="A299" s="9"/>
      <c r="B299" s="31"/>
      <c r="C299" s="32"/>
      <c r="D299" s="19"/>
      <c r="E299" s="19"/>
      <c r="F299" s="19"/>
      <c r="G299" s="19"/>
      <c r="H299" s="19"/>
      <c r="I299" s="19"/>
      <c r="J299" s="19"/>
    </row>
    <row r="300" spans="1:14" hidden="1">
      <c r="A300" s="9"/>
      <c r="B300" s="31"/>
      <c r="C300" s="32"/>
      <c r="D300" s="19"/>
      <c r="E300" s="19"/>
      <c r="F300" s="19"/>
      <c r="G300" s="19"/>
      <c r="H300" s="19"/>
      <c r="I300" s="19"/>
      <c r="J300" s="19"/>
    </row>
    <row r="301" spans="1:14" hidden="1">
      <c r="A301" s="16" t="s">
        <v>349</v>
      </c>
      <c r="B301" s="50"/>
      <c r="C301" s="50"/>
      <c r="D301" s="18">
        <f t="shared" ref="D301:J301" si="70">SUM(D294:D300)</f>
        <v>0</v>
      </c>
      <c r="E301" s="18">
        <f t="shared" si="70"/>
        <v>0</v>
      </c>
      <c r="F301" s="18">
        <f t="shared" si="70"/>
        <v>0</v>
      </c>
      <c r="G301" s="18">
        <f t="shared" si="70"/>
        <v>0</v>
      </c>
      <c r="H301" s="18">
        <f t="shared" si="70"/>
        <v>0</v>
      </c>
      <c r="I301" s="18">
        <f t="shared" si="70"/>
        <v>0</v>
      </c>
      <c r="J301" s="18">
        <f t="shared" si="70"/>
        <v>0</v>
      </c>
      <c r="N301" s="24"/>
    </row>
    <row r="302" spans="1:14">
      <c r="A302" s="16" t="s">
        <v>583</v>
      </c>
      <c r="B302" s="16"/>
      <c r="C302" s="16"/>
      <c r="D302" s="18">
        <f t="shared" ref="D302:J302" si="71">D292+D301</f>
        <v>0</v>
      </c>
      <c r="E302" s="18">
        <f t="shared" si="71"/>
        <v>0</v>
      </c>
      <c r="F302" s="18">
        <f t="shared" si="71"/>
        <v>0</v>
      </c>
      <c r="G302" s="18">
        <f t="shared" si="71"/>
        <v>0</v>
      </c>
      <c r="H302" s="18">
        <f t="shared" si="71"/>
        <v>0</v>
      </c>
      <c r="I302" s="18">
        <f t="shared" si="71"/>
        <v>0</v>
      </c>
      <c r="J302" s="18">
        <f t="shared" si="71"/>
        <v>0</v>
      </c>
    </row>
    <row r="303" spans="1:14">
      <c r="A303" s="9"/>
      <c r="B303" s="9"/>
      <c r="C303" s="9"/>
      <c r="D303" s="75"/>
      <c r="E303" s="75"/>
      <c r="F303" s="75"/>
      <c r="G303" s="75"/>
      <c r="H303" s="75"/>
      <c r="I303" s="9"/>
      <c r="J303" s="9"/>
    </row>
    <row r="304" spans="1:14">
      <c r="A304" s="16"/>
      <c r="B304" s="16"/>
      <c r="C304" s="16"/>
      <c r="D304" s="75"/>
      <c r="E304" s="75"/>
      <c r="F304" s="75"/>
      <c r="G304" s="75"/>
      <c r="H304" s="75"/>
      <c r="I304" s="9"/>
      <c r="J304" s="9"/>
    </row>
    <row r="305" spans="1:10">
      <c r="A305" s="16" t="s">
        <v>584</v>
      </c>
      <c r="B305" s="16"/>
      <c r="C305" s="16"/>
      <c r="D305" s="18">
        <f t="shared" ref="D305:J305" si="72">D229-D302</f>
        <v>0</v>
      </c>
      <c r="E305" s="18">
        <f t="shared" si="72"/>
        <v>0</v>
      </c>
      <c r="F305" s="18">
        <f t="shared" si="72"/>
        <v>0</v>
      </c>
      <c r="G305" s="18">
        <f t="shared" si="72"/>
        <v>0</v>
      </c>
      <c r="H305" s="18">
        <f t="shared" si="72"/>
        <v>0</v>
      </c>
      <c r="I305" s="18">
        <f t="shared" si="72"/>
        <v>0</v>
      </c>
      <c r="J305" s="18">
        <f t="shared" si="72"/>
        <v>0</v>
      </c>
    </row>
    <row r="307" spans="1:10">
      <c r="A307" s="1" t="s">
        <v>585</v>
      </c>
    </row>
    <row r="308" spans="1:10">
      <c r="A308" s="456" t="s">
        <v>586</v>
      </c>
      <c r="B308" s="456"/>
      <c r="C308" s="456"/>
      <c r="D308" s="456"/>
      <c r="E308" s="456"/>
      <c r="F308" s="456"/>
      <c r="G308" s="456"/>
      <c r="H308" s="456"/>
      <c r="I308" s="456"/>
      <c r="J308" s="456"/>
    </row>
    <row r="310" spans="1:10">
      <c r="A310" s="1" t="s">
        <v>308</v>
      </c>
    </row>
    <row r="311" spans="1:10">
      <c r="A311" s="1">
        <v>1</v>
      </c>
      <c r="B311" s="1" t="s">
        <v>587</v>
      </c>
    </row>
    <row r="312" spans="1:10">
      <c r="A312" s="1">
        <v>2</v>
      </c>
      <c r="B312" s="1" t="s">
        <v>588</v>
      </c>
    </row>
    <row r="313" spans="1:10">
      <c r="A313" s="1">
        <v>3</v>
      </c>
      <c r="B313" s="1" t="s">
        <v>589</v>
      </c>
    </row>
  </sheetData>
  <mergeCells count="5">
    <mergeCell ref="A2:H2"/>
    <mergeCell ref="A3:H3"/>
    <mergeCell ref="F4:H4"/>
    <mergeCell ref="A170:J170"/>
    <mergeCell ref="A308:J308"/>
  </mergeCell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dimension ref="A3:K189"/>
  <sheetViews>
    <sheetView view="pageBreakPreview" topLeftCell="A156" zoomScale="80" workbookViewId="0">
      <selection activeCell="I13" sqref="I13"/>
    </sheetView>
  </sheetViews>
  <sheetFormatPr defaultColWidth="9" defaultRowHeight="15"/>
  <cols>
    <col min="1" max="1" width="41.7109375" style="1" customWidth="1"/>
    <col min="2" max="3" width="10.5703125" style="1" customWidth="1"/>
    <col min="4" max="4" width="15.140625" style="1" customWidth="1"/>
    <col min="5" max="8" width="17.28515625" style="1" customWidth="1"/>
    <col min="9" max="10" width="16.85546875" style="1" customWidth="1"/>
    <col min="11" max="16384" width="9" style="1"/>
  </cols>
  <sheetData>
    <row r="3" spans="1:8">
      <c r="A3" s="456" t="s">
        <v>590</v>
      </c>
      <c r="B3" s="456"/>
      <c r="C3" s="456"/>
      <c r="D3" s="456"/>
      <c r="E3" s="456"/>
      <c r="F3" s="456"/>
      <c r="G3" s="456"/>
      <c r="H3" s="456"/>
    </row>
    <row r="4" spans="1:8">
      <c r="A4" s="456" t="s">
        <v>591</v>
      </c>
      <c r="B4" s="456"/>
      <c r="C4" s="456"/>
      <c r="D4" s="456"/>
      <c r="E4" s="456"/>
      <c r="F4" s="456"/>
      <c r="G4" s="456"/>
      <c r="H4" s="456"/>
    </row>
    <row r="5" spans="1:8">
      <c r="A5" s="1" t="s">
        <v>124</v>
      </c>
      <c r="B5" s="5">
        <v>20</v>
      </c>
      <c r="C5" s="1" t="s">
        <v>592</v>
      </c>
    </row>
    <row r="6" spans="1:8">
      <c r="A6" s="1" t="s">
        <v>561</v>
      </c>
      <c r="B6" s="6">
        <v>10</v>
      </c>
    </row>
    <row r="7" spans="1:8">
      <c r="B7" s="6"/>
    </row>
    <row r="8" spans="1:8">
      <c r="B8" s="6"/>
    </row>
    <row r="11" spans="1:8">
      <c r="A11" s="7" t="s">
        <v>145</v>
      </c>
      <c r="B11" s="8" t="s">
        <v>148</v>
      </c>
      <c r="C11" s="8" t="s">
        <v>149</v>
      </c>
      <c r="D11" s="8" t="s">
        <v>150</v>
      </c>
      <c r="E11" s="8" t="s">
        <v>151</v>
      </c>
      <c r="F11" s="8" t="s">
        <v>152</v>
      </c>
      <c r="G11" s="8" t="s">
        <v>153</v>
      </c>
      <c r="H11" s="8" t="s">
        <v>154</v>
      </c>
    </row>
    <row r="12" spans="1:8">
      <c r="A12" s="9" t="s">
        <v>593</v>
      </c>
      <c r="B12" s="10">
        <f>B32/($B$5*$B$6)</f>
        <v>0</v>
      </c>
      <c r="C12" s="10">
        <f t="shared" ref="C12:H12" si="0">C32/($B$5*$B$6)</f>
        <v>0</v>
      </c>
      <c r="D12" s="10">
        <f t="shared" si="0"/>
        <v>0</v>
      </c>
      <c r="E12" s="10">
        <f t="shared" si="0"/>
        <v>0</v>
      </c>
      <c r="F12" s="10">
        <f t="shared" si="0"/>
        <v>0</v>
      </c>
      <c r="G12" s="10">
        <f t="shared" si="0"/>
        <v>0</v>
      </c>
      <c r="H12" s="10">
        <f t="shared" si="0"/>
        <v>0</v>
      </c>
    </row>
    <row r="13" spans="1:8">
      <c r="A13" s="9" t="str">
        <f>'10.Grain Production details'!A67</f>
        <v>Soybean</v>
      </c>
      <c r="B13" s="9">
        <f>'10.Grain Production details'!B67</f>
        <v>0</v>
      </c>
      <c r="C13" s="9">
        <f>'10.Grain Production details'!C67</f>
        <v>0</v>
      </c>
      <c r="D13" s="9">
        <f>'10.Grain Production details'!D67</f>
        <v>0</v>
      </c>
      <c r="E13" s="9">
        <f>'10.Grain Production details'!E67</f>
        <v>0</v>
      </c>
      <c r="F13" s="9">
        <f>'10.Grain Production details'!F67</f>
        <v>0</v>
      </c>
      <c r="G13" s="9">
        <f>'10.Grain Production details'!G67</f>
        <v>0</v>
      </c>
      <c r="H13" s="9">
        <f>'10.Grain Production details'!H67</f>
        <v>0</v>
      </c>
    </row>
    <row r="14" spans="1:8">
      <c r="A14" s="9" t="str">
        <f>'10.Grain Production details'!A68</f>
        <v>Red Gram/Tur</v>
      </c>
      <c r="B14" s="9">
        <f>'10.Grain Production details'!B68</f>
        <v>0</v>
      </c>
      <c r="C14" s="9">
        <f>'10.Grain Production details'!C68</f>
        <v>0</v>
      </c>
      <c r="D14" s="9">
        <f>'10.Grain Production details'!D68</f>
        <v>0</v>
      </c>
      <c r="E14" s="9">
        <f>'10.Grain Production details'!E68</f>
        <v>0</v>
      </c>
      <c r="F14" s="9">
        <f>'10.Grain Production details'!F68</f>
        <v>0</v>
      </c>
      <c r="G14" s="9">
        <f>'10.Grain Production details'!G68</f>
        <v>0</v>
      </c>
      <c r="H14" s="9">
        <f>'10.Grain Production details'!H68</f>
        <v>0</v>
      </c>
    </row>
    <row r="15" spans="1:8">
      <c r="A15" s="9" t="str">
        <f>'10.Grain Production details'!A69</f>
        <v>Paddy/Rice</v>
      </c>
      <c r="B15" s="11">
        <f>'10.Grain Production details'!B69</f>
        <v>0</v>
      </c>
      <c r="C15" s="11">
        <f>'10.Grain Production details'!C69</f>
        <v>0</v>
      </c>
      <c r="D15" s="11">
        <f>'10.Grain Production details'!D69</f>
        <v>0</v>
      </c>
      <c r="E15" s="11">
        <f>'10.Grain Production details'!E69</f>
        <v>0</v>
      </c>
      <c r="F15" s="11">
        <f>'10.Grain Production details'!F69</f>
        <v>0</v>
      </c>
      <c r="G15" s="11">
        <f>'10.Grain Production details'!G69</f>
        <v>0</v>
      </c>
      <c r="H15" s="11">
        <f>'10.Grain Production details'!H69</f>
        <v>0</v>
      </c>
    </row>
    <row r="16" spans="1:8">
      <c r="A16" s="9" t="str">
        <f>'10.Grain Production details'!A70</f>
        <v>Green Gram/ Moong</v>
      </c>
      <c r="B16" s="9">
        <f>'10.Grain Production details'!B70</f>
        <v>0</v>
      </c>
      <c r="C16" s="9">
        <f>'10.Grain Production details'!C70</f>
        <v>0</v>
      </c>
      <c r="D16" s="9">
        <f>'10.Grain Production details'!D70</f>
        <v>0</v>
      </c>
      <c r="E16" s="9">
        <f>'10.Grain Production details'!E70</f>
        <v>0</v>
      </c>
      <c r="F16" s="9">
        <f>'10.Grain Production details'!F70</f>
        <v>0</v>
      </c>
      <c r="G16" s="9">
        <f>'10.Grain Production details'!G70</f>
        <v>0</v>
      </c>
      <c r="H16" s="9">
        <f>'10.Grain Production details'!H70</f>
        <v>0</v>
      </c>
    </row>
    <row r="17" spans="1:8">
      <c r="A17" s="9" t="str">
        <f>'10.Grain Production details'!A71</f>
        <v>Maize</v>
      </c>
      <c r="B17" s="9">
        <f>'10.Grain Production details'!B71</f>
        <v>0</v>
      </c>
      <c r="C17" s="9">
        <f>'10.Grain Production details'!C71</f>
        <v>0</v>
      </c>
      <c r="D17" s="9">
        <f>'10.Grain Production details'!D71</f>
        <v>0</v>
      </c>
      <c r="E17" s="9">
        <f>'10.Grain Production details'!E71</f>
        <v>0</v>
      </c>
      <c r="F17" s="9">
        <f>'10.Grain Production details'!F71</f>
        <v>0</v>
      </c>
      <c r="G17" s="9">
        <f>'10.Grain Production details'!G71</f>
        <v>0</v>
      </c>
      <c r="H17" s="9">
        <f>'10.Grain Production details'!H71</f>
        <v>0</v>
      </c>
    </row>
    <row r="18" spans="1:8">
      <c r="A18" s="9" t="str">
        <f>'10.Grain Production details'!A72</f>
        <v>Black Gram/Udid</v>
      </c>
      <c r="B18" s="9">
        <f>'10.Grain Production details'!B72</f>
        <v>0</v>
      </c>
      <c r="C18" s="9">
        <f>'10.Grain Production details'!C72</f>
        <v>0</v>
      </c>
      <c r="D18" s="9">
        <f>'10.Grain Production details'!D72</f>
        <v>0</v>
      </c>
      <c r="E18" s="9">
        <f>'10.Grain Production details'!E72</f>
        <v>0</v>
      </c>
      <c r="F18" s="9">
        <f>'10.Grain Production details'!F72</f>
        <v>0</v>
      </c>
      <c r="G18" s="9">
        <f>'10.Grain Production details'!G72</f>
        <v>0</v>
      </c>
      <c r="H18" s="9">
        <f>'10.Grain Production details'!H72</f>
        <v>0</v>
      </c>
    </row>
    <row r="19" spans="1:8">
      <c r="A19" s="9" t="str">
        <f>'10.Grain Production details'!A73</f>
        <v>Bajra</v>
      </c>
      <c r="B19" s="9">
        <f>'10.Grain Production details'!B73</f>
        <v>0</v>
      </c>
      <c r="C19" s="9">
        <f>'10.Grain Production details'!C73</f>
        <v>0</v>
      </c>
      <c r="D19" s="9">
        <f>'10.Grain Production details'!D73</f>
        <v>0</v>
      </c>
      <c r="E19" s="9">
        <f>'10.Grain Production details'!E73</f>
        <v>0</v>
      </c>
      <c r="F19" s="9">
        <f>'10.Grain Production details'!F73</f>
        <v>0</v>
      </c>
      <c r="G19" s="9">
        <f>'10.Grain Production details'!G73</f>
        <v>0</v>
      </c>
      <c r="H19" s="9">
        <f>'10.Grain Production details'!H73</f>
        <v>0</v>
      </c>
    </row>
    <row r="20" spans="1:8">
      <c r="A20" s="9" t="str">
        <f>'10.Grain Production details'!A74</f>
        <v>Jawar</v>
      </c>
      <c r="B20" s="9">
        <f>'10.Grain Production details'!B74</f>
        <v>0</v>
      </c>
      <c r="C20" s="9">
        <f>'10.Grain Production details'!C74</f>
        <v>0</v>
      </c>
      <c r="D20" s="9">
        <f>'10.Grain Production details'!D74</f>
        <v>0</v>
      </c>
      <c r="E20" s="9">
        <f>'10.Grain Production details'!E74</f>
        <v>0</v>
      </c>
      <c r="F20" s="9">
        <f>'10.Grain Production details'!F74</f>
        <v>0</v>
      </c>
      <c r="G20" s="9">
        <f>'10.Grain Production details'!G74</f>
        <v>0</v>
      </c>
      <c r="H20" s="9">
        <f>'10.Grain Production details'!H74</f>
        <v>0</v>
      </c>
    </row>
    <row r="21" spans="1:8">
      <c r="A21" s="9" t="str">
        <f>'10.Grain Production details'!A75</f>
        <v>Sunflower</v>
      </c>
      <c r="B21" s="9">
        <f>'10.Grain Production details'!B75</f>
        <v>0</v>
      </c>
      <c r="C21" s="9">
        <f>'10.Grain Production details'!C75</f>
        <v>0</v>
      </c>
      <c r="D21" s="9">
        <f>'10.Grain Production details'!D75</f>
        <v>0</v>
      </c>
      <c r="E21" s="9">
        <f>'10.Grain Production details'!E75</f>
        <v>0</v>
      </c>
      <c r="F21" s="9">
        <f>'10.Grain Production details'!F75</f>
        <v>0</v>
      </c>
      <c r="G21" s="9">
        <f>'10.Grain Production details'!G75</f>
        <v>0</v>
      </c>
      <c r="H21" s="9">
        <f>'10.Grain Production details'!H75</f>
        <v>0</v>
      </c>
    </row>
    <row r="22" spans="1:8">
      <c r="A22" s="9" t="str">
        <f>'10.Grain Production details'!A76</f>
        <v>Wheat</v>
      </c>
      <c r="B22" s="9">
        <f>'10.Grain Production details'!B76</f>
        <v>0</v>
      </c>
      <c r="C22" s="9">
        <f>'10.Grain Production details'!C76</f>
        <v>0</v>
      </c>
      <c r="D22" s="9">
        <f>'10.Grain Production details'!D76</f>
        <v>0</v>
      </c>
      <c r="E22" s="9">
        <f>'10.Grain Production details'!E76</f>
        <v>0</v>
      </c>
      <c r="F22" s="9">
        <f>'10.Grain Production details'!F76</f>
        <v>0</v>
      </c>
      <c r="G22" s="9">
        <f>'10.Grain Production details'!G76</f>
        <v>0</v>
      </c>
      <c r="H22" s="9">
        <f>'10.Grain Production details'!H76</f>
        <v>0</v>
      </c>
    </row>
    <row r="23" spans="1:8">
      <c r="A23" s="9" t="str">
        <f>'10.Grain Production details'!A77</f>
        <v>Bengal Gram/Channa</v>
      </c>
      <c r="B23" s="9">
        <f>'10.Grain Production details'!B77</f>
        <v>0</v>
      </c>
      <c r="C23" s="9">
        <f>'10.Grain Production details'!C77</f>
        <v>0</v>
      </c>
      <c r="D23" s="9">
        <f>'10.Grain Production details'!D77</f>
        <v>0</v>
      </c>
      <c r="E23" s="9">
        <f>'10.Grain Production details'!E77</f>
        <v>0</v>
      </c>
      <c r="F23" s="9">
        <f>'10.Grain Production details'!F77</f>
        <v>0</v>
      </c>
      <c r="G23" s="9">
        <f>'10.Grain Production details'!G77</f>
        <v>0</v>
      </c>
      <c r="H23" s="9">
        <f>'10.Grain Production details'!H77</f>
        <v>0</v>
      </c>
    </row>
    <row r="24" spans="1:8">
      <c r="A24" s="9" t="str">
        <f>'10.Grain Production details'!A78</f>
        <v>Jawar</v>
      </c>
      <c r="B24" s="9">
        <f>'10.Grain Production details'!B78</f>
        <v>0</v>
      </c>
      <c r="C24" s="9">
        <f>'10.Grain Production details'!C78</f>
        <v>0</v>
      </c>
      <c r="D24" s="9">
        <f>'10.Grain Production details'!D78</f>
        <v>0</v>
      </c>
      <c r="E24" s="9">
        <f>'10.Grain Production details'!E78</f>
        <v>0</v>
      </c>
      <c r="F24" s="9">
        <f>'10.Grain Production details'!F78</f>
        <v>0</v>
      </c>
      <c r="G24" s="9">
        <f>'10.Grain Production details'!G78</f>
        <v>0</v>
      </c>
      <c r="H24" s="9">
        <f>'10.Grain Production details'!H78</f>
        <v>0</v>
      </c>
    </row>
    <row r="25" spans="1:8">
      <c r="A25" s="9" t="str">
        <f>'10.Grain Production details'!A79</f>
        <v>Maize</v>
      </c>
      <c r="B25" s="9">
        <f>'10.Grain Production details'!B79</f>
        <v>0</v>
      </c>
      <c r="C25" s="9">
        <f>'10.Grain Production details'!C79</f>
        <v>0</v>
      </c>
      <c r="D25" s="9">
        <f>'10.Grain Production details'!D79</f>
        <v>0</v>
      </c>
      <c r="E25" s="9">
        <f>'10.Grain Production details'!E79</f>
        <v>0</v>
      </c>
      <c r="F25" s="9">
        <f>'10.Grain Production details'!F79</f>
        <v>0</v>
      </c>
      <c r="G25" s="9">
        <f>'10.Grain Production details'!G79</f>
        <v>0</v>
      </c>
      <c r="H25" s="9">
        <f>'10.Grain Production details'!H79</f>
        <v>0</v>
      </c>
    </row>
    <row r="26" spans="1:8">
      <c r="A26" s="9" t="str">
        <f>'10.Grain Production details'!A80</f>
        <v>Safflower</v>
      </c>
      <c r="B26" s="9">
        <f>'10.Grain Production details'!B80</f>
        <v>0</v>
      </c>
      <c r="C26" s="9">
        <f>'10.Grain Production details'!C80</f>
        <v>0</v>
      </c>
      <c r="D26" s="9">
        <f>'10.Grain Production details'!D80</f>
        <v>0</v>
      </c>
      <c r="E26" s="9">
        <f>'10.Grain Production details'!E80</f>
        <v>0</v>
      </c>
      <c r="F26" s="9">
        <f>'10.Grain Production details'!F80</f>
        <v>0</v>
      </c>
      <c r="G26" s="9">
        <f>'10.Grain Production details'!G80</f>
        <v>0</v>
      </c>
      <c r="H26" s="9">
        <f>'10.Grain Production details'!H80</f>
        <v>0</v>
      </c>
    </row>
    <row r="27" spans="1:8">
      <c r="A27" s="9">
        <f>'10.Grain Production details'!A81</f>
        <v>0</v>
      </c>
      <c r="B27" s="9">
        <f>'10.Grain Production details'!B81</f>
        <v>0</v>
      </c>
      <c r="C27" s="9">
        <f>'10.Grain Production details'!C81</f>
        <v>0</v>
      </c>
      <c r="D27" s="9">
        <f>'10.Grain Production details'!D81</f>
        <v>0</v>
      </c>
      <c r="E27" s="9">
        <f>'10.Grain Production details'!E81</f>
        <v>0</v>
      </c>
      <c r="F27" s="9">
        <f>'10.Grain Production details'!F81</f>
        <v>0</v>
      </c>
      <c r="G27" s="9">
        <f>'10.Grain Production details'!G81</f>
        <v>0</v>
      </c>
      <c r="H27" s="9">
        <f>'10.Grain Production details'!H81</f>
        <v>0</v>
      </c>
    </row>
    <row r="28" spans="1:8">
      <c r="A28" s="9">
        <f>'10.Grain Production details'!A82</f>
        <v>0</v>
      </c>
      <c r="B28" s="9">
        <f>'10.Grain Production details'!B82</f>
        <v>0</v>
      </c>
      <c r="C28" s="9">
        <f>'10.Grain Production details'!C82</f>
        <v>0</v>
      </c>
      <c r="D28" s="9">
        <f>'10.Grain Production details'!D82</f>
        <v>0</v>
      </c>
      <c r="E28" s="9">
        <f>'10.Grain Production details'!E82</f>
        <v>0</v>
      </c>
      <c r="F28" s="9">
        <f>'10.Grain Production details'!F82</f>
        <v>0</v>
      </c>
      <c r="G28" s="9">
        <f>'10.Grain Production details'!G82</f>
        <v>0</v>
      </c>
      <c r="H28" s="9">
        <f>'10.Grain Production details'!H82</f>
        <v>0</v>
      </c>
    </row>
    <row r="29" spans="1:8">
      <c r="A29" s="9">
        <f>'10.Grain Production details'!A83</f>
        <v>0</v>
      </c>
      <c r="B29" s="9">
        <f>'10.Grain Production details'!B83</f>
        <v>0</v>
      </c>
      <c r="C29" s="9">
        <f>'10.Grain Production details'!C83</f>
        <v>0</v>
      </c>
      <c r="D29" s="9">
        <f>'10.Grain Production details'!D83</f>
        <v>0</v>
      </c>
      <c r="E29" s="9">
        <f>'10.Grain Production details'!E83</f>
        <v>0</v>
      </c>
      <c r="F29" s="9">
        <f>'10.Grain Production details'!F83</f>
        <v>0</v>
      </c>
      <c r="G29" s="9">
        <f>'10.Grain Production details'!G83</f>
        <v>0</v>
      </c>
      <c r="H29" s="9">
        <f>'10.Grain Production details'!H83</f>
        <v>0</v>
      </c>
    </row>
    <row r="30" spans="1:8">
      <c r="A30" s="9" t="str">
        <f>'10.Grain Production details'!A84</f>
        <v>Groundnut</v>
      </c>
      <c r="B30" s="9">
        <f>'10.Grain Production details'!B84</f>
        <v>0</v>
      </c>
      <c r="C30" s="9">
        <f>'10.Grain Production details'!C84</f>
        <v>0</v>
      </c>
      <c r="D30" s="9">
        <f>'10.Grain Production details'!D84</f>
        <v>0</v>
      </c>
      <c r="E30" s="9">
        <f>'10.Grain Production details'!E84</f>
        <v>0</v>
      </c>
      <c r="F30" s="9">
        <f>'10.Grain Production details'!F84</f>
        <v>0</v>
      </c>
      <c r="G30" s="9">
        <f>'10.Grain Production details'!G84</f>
        <v>0</v>
      </c>
      <c r="H30" s="9">
        <f>'10.Grain Production details'!H84</f>
        <v>0</v>
      </c>
    </row>
    <row r="31" spans="1:8">
      <c r="A31" s="9">
        <f>'10.Grain Production details'!A85</f>
        <v>0</v>
      </c>
      <c r="B31" s="9">
        <f>'10.Grain Production details'!B85</f>
        <v>0</v>
      </c>
      <c r="C31" s="9">
        <f>'10.Grain Production details'!C85</f>
        <v>0</v>
      </c>
      <c r="D31" s="9">
        <f>'10.Grain Production details'!D85</f>
        <v>0</v>
      </c>
      <c r="E31" s="9">
        <f>'10.Grain Production details'!E85</f>
        <v>0</v>
      </c>
      <c r="F31" s="9">
        <f>'10.Grain Production details'!F85</f>
        <v>0</v>
      </c>
      <c r="G31" s="9">
        <f>'10.Grain Production details'!G85</f>
        <v>0</v>
      </c>
      <c r="H31" s="9">
        <f>'10.Grain Production details'!H85</f>
        <v>0</v>
      </c>
    </row>
    <row r="32" spans="1:8">
      <c r="A32" s="9" t="s">
        <v>594</v>
      </c>
      <c r="B32" s="9">
        <f>SUM(B13:B31)</f>
        <v>0</v>
      </c>
      <c r="C32" s="9">
        <f t="shared" ref="C32:H32" si="1">SUM(C13:C31)</f>
        <v>0</v>
      </c>
      <c r="D32" s="9">
        <f t="shared" si="1"/>
        <v>0</v>
      </c>
      <c r="E32" s="9">
        <f t="shared" si="1"/>
        <v>0</v>
      </c>
      <c r="F32" s="9">
        <f t="shared" si="1"/>
        <v>0</v>
      </c>
      <c r="G32" s="9">
        <f t="shared" si="1"/>
        <v>0</v>
      </c>
      <c r="H32" s="9">
        <f t="shared" si="1"/>
        <v>0</v>
      </c>
    </row>
    <row r="33" spans="1:8">
      <c r="A33" s="12" t="s">
        <v>570</v>
      </c>
      <c r="B33" s="13">
        <v>0.1</v>
      </c>
      <c r="C33" s="13">
        <f>B33</f>
        <v>0.1</v>
      </c>
      <c r="D33" s="13">
        <f t="shared" ref="D33:H33" si="2">C33</f>
        <v>0.1</v>
      </c>
      <c r="E33" s="13">
        <f t="shared" si="2"/>
        <v>0.1</v>
      </c>
      <c r="F33" s="13">
        <f t="shared" si="2"/>
        <v>0.1</v>
      </c>
      <c r="G33" s="13">
        <f t="shared" si="2"/>
        <v>0.1</v>
      </c>
      <c r="H33" s="13">
        <f t="shared" si="2"/>
        <v>0.1</v>
      </c>
    </row>
    <row r="34" spans="1:8">
      <c r="A34" s="14" t="s">
        <v>595</v>
      </c>
      <c r="B34" s="15">
        <f>1-B33</f>
        <v>0.9</v>
      </c>
      <c r="C34" s="15">
        <f t="shared" ref="C34:H34" si="3">1-C33</f>
        <v>0.9</v>
      </c>
      <c r="D34" s="15">
        <f t="shared" si="3"/>
        <v>0.9</v>
      </c>
      <c r="E34" s="15">
        <f t="shared" si="3"/>
        <v>0.9</v>
      </c>
      <c r="F34" s="15">
        <f t="shared" si="3"/>
        <v>0.9</v>
      </c>
      <c r="G34" s="15">
        <f t="shared" si="3"/>
        <v>0.9</v>
      </c>
      <c r="H34" s="15">
        <f t="shared" si="3"/>
        <v>0.9</v>
      </c>
    </row>
    <row r="35" spans="1:8">
      <c r="A35" s="16" t="s">
        <v>570</v>
      </c>
      <c r="B35" s="17">
        <f>B32*B33</f>
        <v>0</v>
      </c>
      <c r="C35" s="17">
        <f t="shared" ref="C35:H35" si="4">C32*C33</f>
        <v>0</v>
      </c>
      <c r="D35" s="17">
        <f t="shared" si="4"/>
        <v>0</v>
      </c>
      <c r="E35" s="17">
        <f t="shared" si="4"/>
        <v>0</v>
      </c>
      <c r="F35" s="17">
        <f t="shared" si="4"/>
        <v>0</v>
      </c>
      <c r="G35" s="17">
        <f t="shared" si="4"/>
        <v>0</v>
      </c>
      <c r="H35" s="17">
        <f t="shared" si="4"/>
        <v>0</v>
      </c>
    </row>
    <row r="36" spans="1:8">
      <c r="A36" s="16" t="s">
        <v>571</v>
      </c>
      <c r="B36" s="18"/>
      <c r="C36" s="18"/>
      <c r="D36" s="18"/>
      <c r="E36" s="18"/>
      <c r="F36" s="18"/>
      <c r="G36" s="18"/>
      <c r="H36" s="18"/>
    </row>
    <row r="37" spans="1:8">
      <c r="A37" s="9" t="str">
        <f t="shared" ref="A37:A55" si="5">A13</f>
        <v>Soybean</v>
      </c>
      <c r="B37" s="19">
        <f t="shared" ref="B37:B55" si="6">B13*$B$34</f>
        <v>0</v>
      </c>
      <c r="C37" s="19">
        <f t="shared" ref="C37:H37" si="7">C13*$B$34</f>
        <v>0</v>
      </c>
      <c r="D37" s="19">
        <f t="shared" si="7"/>
        <v>0</v>
      </c>
      <c r="E37" s="19">
        <f t="shared" si="7"/>
        <v>0</v>
      </c>
      <c r="F37" s="19">
        <f t="shared" si="7"/>
        <v>0</v>
      </c>
      <c r="G37" s="19">
        <f t="shared" si="7"/>
        <v>0</v>
      </c>
      <c r="H37" s="19">
        <f t="shared" si="7"/>
        <v>0</v>
      </c>
    </row>
    <row r="38" spans="1:8">
      <c r="A38" s="9" t="str">
        <f t="shared" si="5"/>
        <v>Red Gram/Tur</v>
      </c>
      <c r="B38" s="19">
        <f t="shared" si="6"/>
        <v>0</v>
      </c>
      <c r="C38" s="19">
        <f t="shared" ref="C38:C55" si="8">C14*$C$34</f>
        <v>0</v>
      </c>
      <c r="D38" s="19">
        <f t="shared" ref="D38:D55" si="9">D14*$D$34</f>
        <v>0</v>
      </c>
      <c r="E38" s="19">
        <f t="shared" ref="E38:E55" si="10">E14*$E$34</f>
        <v>0</v>
      </c>
      <c r="F38" s="19">
        <f t="shared" ref="F38:F55" si="11">F14*$F$34</f>
        <v>0</v>
      </c>
      <c r="G38" s="19">
        <f t="shared" ref="G38:G55" si="12">G14*$G$34</f>
        <v>0</v>
      </c>
      <c r="H38" s="19">
        <f t="shared" ref="H38:H55" si="13">H14*$H$34</f>
        <v>0</v>
      </c>
    </row>
    <row r="39" spans="1:8">
      <c r="A39" s="9" t="str">
        <f t="shared" si="5"/>
        <v>Paddy/Rice</v>
      </c>
      <c r="B39" s="19">
        <f t="shared" si="6"/>
        <v>0</v>
      </c>
      <c r="C39" s="19">
        <f t="shared" si="8"/>
        <v>0</v>
      </c>
      <c r="D39" s="19">
        <f t="shared" si="9"/>
        <v>0</v>
      </c>
      <c r="E39" s="19">
        <f t="shared" si="10"/>
        <v>0</v>
      </c>
      <c r="F39" s="19">
        <f t="shared" si="11"/>
        <v>0</v>
      </c>
      <c r="G39" s="19">
        <f t="shared" si="12"/>
        <v>0</v>
      </c>
      <c r="H39" s="19">
        <f t="shared" si="13"/>
        <v>0</v>
      </c>
    </row>
    <row r="40" spans="1:8">
      <c r="A40" s="9" t="str">
        <f t="shared" si="5"/>
        <v>Green Gram/ Moong</v>
      </c>
      <c r="B40" s="19">
        <f t="shared" si="6"/>
        <v>0</v>
      </c>
      <c r="C40" s="19">
        <f t="shared" si="8"/>
        <v>0</v>
      </c>
      <c r="D40" s="19">
        <f t="shared" si="9"/>
        <v>0</v>
      </c>
      <c r="E40" s="19">
        <f t="shared" si="10"/>
        <v>0</v>
      </c>
      <c r="F40" s="19">
        <f t="shared" si="11"/>
        <v>0</v>
      </c>
      <c r="G40" s="19">
        <f t="shared" si="12"/>
        <v>0</v>
      </c>
      <c r="H40" s="19">
        <f t="shared" si="13"/>
        <v>0</v>
      </c>
    </row>
    <row r="41" spans="1:8">
      <c r="A41" s="9" t="str">
        <f t="shared" si="5"/>
        <v>Maize</v>
      </c>
      <c r="B41" s="19">
        <f t="shared" si="6"/>
        <v>0</v>
      </c>
      <c r="C41" s="19">
        <f t="shared" si="8"/>
        <v>0</v>
      </c>
      <c r="D41" s="19">
        <f t="shared" si="9"/>
        <v>0</v>
      </c>
      <c r="E41" s="19">
        <f t="shared" si="10"/>
        <v>0</v>
      </c>
      <c r="F41" s="19">
        <f t="shared" si="11"/>
        <v>0</v>
      </c>
      <c r="G41" s="19">
        <f t="shared" si="12"/>
        <v>0</v>
      </c>
      <c r="H41" s="19">
        <f t="shared" si="13"/>
        <v>0</v>
      </c>
    </row>
    <row r="42" spans="1:8">
      <c r="A42" s="9" t="str">
        <f t="shared" si="5"/>
        <v>Black Gram/Udid</v>
      </c>
      <c r="B42" s="19">
        <f t="shared" si="6"/>
        <v>0</v>
      </c>
      <c r="C42" s="19">
        <f t="shared" si="8"/>
        <v>0</v>
      </c>
      <c r="D42" s="19">
        <f t="shared" si="9"/>
        <v>0</v>
      </c>
      <c r="E42" s="19">
        <f t="shared" si="10"/>
        <v>0</v>
      </c>
      <c r="F42" s="19">
        <f t="shared" si="11"/>
        <v>0</v>
      </c>
      <c r="G42" s="19">
        <f t="shared" si="12"/>
        <v>0</v>
      </c>
      <c r="H42" s="19">
        <f t="shared" si="13"/>
        <v>0</v>
      </c>
    </row>
    <row r="43" spans="1:8">
      <c r="A43" s="9" t="str">
        <f t="shared" si="5"/>
        <v>Bajra</v>
      </c>
      <c r="B43" s="19">
        <f t="shared" si="6"/>
        <v>0</v>
      </c>
      <c r="C43" s="19">
        <f t="shared" si="8"/>
        <v>0</v>
      </c>
      <c r="D43" s="19">
        <f t="shared" si="9"/>
        <v>0</v>
      </c>
      <c r="E43" s="19">
        <f t="shared" si="10"/>
        <v>0</v>
      </c>
      <c r="F43" s="19">
        <f t="shared" si="11"/>
        <v>0</v>
      </c>
      <c r="G43" s="19">
        <f t="shared" si="12"/>
        <v>0</v>
      </c>
      <c r="H43" s="19">
        <f t="shared" si="13"/>
        <v>0</v>
      </c>
    </row>
    <row r="44" spans="1:8">
      <c r="A44" s="9" t="str">
        <f t="shared" si="5"/>
        <v>Jawar</v>
      </c>
      <c r="B44" s="19">
        <f t="shared" si="6"/>
        <v>0</v>
      </c>
      <c r="C44" s="19">
        <f t="shared" si="8"/>
        <v>0</v>
      </c>
      <c r="D44" s="19">
        <f t="shared" si="9"/>
        <v>0</v>
      </c>
      <c r="E44" s="19">
        <f t="shared" si="10"/>
        <v>0</v>
      </c>
      <c r="F44" s="19">
        <f t="shared" si="11"/>
        <v>0</v>
      </c>
      <c r="G44" s="19">
        <f t="shared" si="12"/>
        <v>0</v>
      </c>
      <c r="H44" s="19">
        <f t="shared" si="13"/>
        <v>0</v>
      </c>
    </row>
    <row r="45" spans="1:8">
      <c r="A45" s="9" t="str">
        <f t="shared" si="5"/>
        <v>Sunflower</v>
      </c>
      <c r="B45" s="19">
        <f t="shared" si="6"/>
        <v>0</v>
      </c>
      <c r="C45" s="19">
        <f t="shared" si="8"/>
        <v>0</v>
      </c>
      <c r="D45" s="19">
        <f t="shared" si="9"/>
        <v>0</v>
      </c>
      <c r="E45" s="19">
        <f t="shared" si="10"/>
        <v>0</v>
      </c>
      <c r="F45" s="19">
        <f t="shared" si="11"/>
        <v>0</v>
      </c>
      <c r="G45" s="19">
        <f t="shared" si="12"/>
        <v>0</v>
      </c>
      <c r="H45" s="19">
        <f t="shared" si="13"/>
        <v>0</v>
      </c>
    </row>
    <row r="46" spans="1:8">
      <c r="A46" s="9" t="str">
        <f t="shared" si="5"/>
        <v>Wheat</v>
      </c>
      <c r="B46" s="19">
        <f t="shared" si="6"/>
        <v>0</v>
      </c>
      <c r="C46" s="19">
        <f t="shared" si="8"/>
        <v>0</v>
      </c>
      <c r="D46" s="19">
        <f t="shared" si="9"/>
        <v>0</v>
      </c>
      <c r="E46" s="19">
        <f t="shared" si="10"/>
        <v>0</v>
      </c>
      <c r="F46" s="19">
        <f t="shared" si="11"/>
        <v>0</v>
      </c>
      <c r="G46" s="19">
        <f t="shared" si="12"/>
        <v>0</v>
      </c>
      <c r="H46" s="19">
        <f t="shared" si="13"/>
        <v>0</v>
      </c>
    </row>
    <row r="47" spans="1:8">
      <c r="A47" s="9" t="str">
        <f t="shared" si="5"/>
        <v>Bengal Gram/Channa</v>
      </c>
      <c r="B47" s="19">
        <f t="shared" si="6"/>
        <v>0</v>
      </c>
      <c r="C47" s="19">
        <f t="shared" si="8"/>
        <v>0</v>
      </c>
      <c r="D47" s="19">
        <f t="shared" si="9"/>
        <v>0</v>
      </c>
      <c r="E47" s="19">
        <f t="shared" si="10"/>
        <v>0</v>
      </c>
      <c r="F47" s="19">
        <f t="shared" si="11"/>
        <v>0</v>
      </c>
      <c r="G47" s="19">
        <f t="shared" si="12"/>
        <v>0</v>
      </c>
      <c r="H47" s="19">
        <f t="shared" si="13"/>
        <v>0</v>
      </c>
    </row>
    <row r="48" spans="1:8">
      <c r="A48" s="9" t="str">
        <f t="shared" si="5"/>
        <v>Jawar</v>
      </c>
      <c r="B48" s="19">
        <f t="shared" si="6"/>
        <v>0</v>
      </c>
      <c r="C48" s="19">
        <f t="shared" si="8"/>
        <v>0</v>
      </c>
      <c r="D48" s="19">
        <f t="shared" si="9"/>
        <v>0</v>
      </c>
      <c r="E48" s="19">
        <f t="shared" si="10"/>
        <v>0</v>
      </c>
      <c r="F48" s="19">
        <f t="shared" si="11"/>
        <v>0</v>
      </c>
      <c r="G48" s="19">
        <f t="shared" si="12"/>
        <v>0</v>
      </c>
      <c r="H48" s="19">
        <f t="shared" si="13"/>
        <v>0</v>
      </c>
    </row>
    <row r="49" spans="1:8">
      <c r="A49" s="9" t="str">
        <f t="shared" si="5"/>
        <v>Maize</v>
      </c>
      <c r="B49" s="19">
        <f t="shared" si="6"/>
        <v>0</v>
      </c>
      <c r="C49" s="19">
        <f t="shared" si="8"/>
        <v>0</v>
      </c>
      <c r="D49" s="19">
        <f t="shared" si="9"/>
        <v>0</v>
      </c>
      <c r="E49" s="19">
        <f t="shared" si="10"/>
        <v>0</v>
      </c>
      <c r="F49" s="19">
        <f t="shared" si="11"/>
        <v>0</v>
      </c>
      <c r="G49" s="19">
        <f t="shared" si="12"/>
        <v>0</v>
      </c>
      <c r="H49" s="19">
        <f t="shared" si="13"/>
        <v>0</v>
      </c>
    </row>
    <row r="50" spans="1:8">
      <c r="A50" s="9" t="str">
        <f t="shared" si="5"/>
        <v>Safflower</v>
      </c>
      <c r="B50" s="19">
        <f t="shared" si="6"/>
        <v>0</v>
      </c>
      <c r="C50" s="19">
        <f t="shared" si="8"/>
        <v>0</v>
      </c>
      <c r="D50" s="19">
        <f t="shared" si="9"/>
        <v>0</v>
      </c>
      <c r="E50" s="19">
        <f t="shared" si="10"/>
        <v>0</v>
      </c>
      <c r="F50" s="19">
        <f t="shared" si="11"/>
        <v>0</v>
      </c>
      <c r="G50" s="19">
        <f t="shared" si="12"/>
        <v>0</v>
      </c>
      <c r="H50" s="19">
        <f t="shared" si="13"/>
        <v>0</v>
      </c>
    </row>
    <row r="51" spans="1:8">
      <c r="A51" s="9">
        <f t="shared" si="5"/>
        <v>0</v>
      </c>
      <c r="B51" s="19">
        <f t="shared" si="6"/>
        <v>0</v>
      </c>
      <c r="C51" s="19">
        <f t="shared" si="8"/>
        <v>0</v>
      </c>
      <c r="D51" s="19">
        <f t="shared" si="9"/>
        <v>0</v>
      </c>
      <c r="E51" s="19">
        <f t="shared" si="10"/>
        <v>0</v>
      </c>
      <c r="F51" s="19">
        <f t="shared" si="11"/>
        <v>0</v>
      </c>
      <c r="G51" s="19">
        <f t="shared" si="12"/>
        <v>0</v>
      </c>
      <c r="H51" s="19">
        <f t="shared" si="13"/>
        <v>0</v>
      </c>
    </row>
    <row r="52" spans="1:8">
      <c r="A52" s="9">
        <f t="shared" si="5"/>
        <v>0</v>
      </c>
      <c r="B52" s="19">
        <f t="shared" si="6"/>
        <v>0</v>
      </c>
      <c r="C52" s="19">
        <f t="shared" si="8"/>
        <v>0</v>
      </c>
      <c r="D52" s="19">
        <f t="shared" si="9"/>
        <v>0</v>
      </c>
      <c r="E52" s="19">
        <f t="shared" si="10"/>
        <v>0</v>
      </c>
      <c r="F52" s="19">
        <f t="shared" si="11"/>
        <v>0</v>
      </c>
      <c r="G52" s="19">
        <f t="shared" si="12"/>
        <v>0</v>
      </c>
      <c r="H52" s="19">
        <f t="shared" si="13"/>
        <v>0</v>
      </c>
    </row>
    <row r="53" spans="1:8">
      <c r="A53" s="9">
        <f t="shared" si="5"/>
        <v>0</v>
      </c>
      <c r="B53" s="19">
        <f t="shared" si="6"/>
        <v>0</v>
      </c>
      <c r="C53" s="19">
        <f t="shared" si="8"/>
        <v>0</v>
      </c>
      <c r="D53" s="19">
        <f t="shared" si="9"/>
        <v>0</v>
      </c>
      <c r="E53" s="19">
        <f t="shared" si="10"/>
        <v>0</v>
      </c>
      <c r="F53" s="19">
        <f t="shared" si="11"/>
        <v>0</v>
      </c>
      <c r="G53" s="19">
        <f t="shared" si="12"/>
        <v>0</v>
      </c>
      <c r="H53" s="19">
        <f t="shared" si="13"/>
        <v>0</v>
      </c>
    </row>
    <row r="54" spans="1:8">
      <c r="A54" s="9" t="str">
        <f t="shared" si="5"/>
        <v>Groundnut</v>
      </c>
      <c r="B54" s="19">
        <f t="shared" si="6"/>
        <v>0</v>
      </c>
      <c r="C54" s="19">
        <f t="shared" si="8"/>
        <v>0</v>
      </c>
      <c r="D54" s="19">
        <f t="shared" si="9"/>
        <v>0</v>
      </c>
      <c r="E54" s="19">
        <f t="shared" si="10"/>
        <v>0</v>
      </c>
      <c r="F54" s="19">
        <f t="shared" si="11"/>
        <v>0</v>
      </c>
      <c r="G54" s="19">
        <f t="shared" si="12"/>
        <v>0</v>
      </c>
      <c r="H54" s="19">
        <f t="shared" si="13"/>
        <v>0</v>
      </c>
    </row>
    <row r="55" spans="1:8">
      <c r="A55" s="9">
        <f t="shared" si="5"/>
        <v>0</v>
      </c>
      <c r="B55" s="19">
        <f t="shared" si="6"/>
        <v>0</v>
      </c>
      <c r="C55" s="19">
        <f t="shared" si="8"/>
        <v>0</v>
      </c>
      <c r="D55" s="19">
        <f t="shared" si="9"/>
        <v>0</v>
      </c>
      <c r="E55" s="19">
        <f t="shared" si="10"/>
        <v>0</v>
      </c>
      <c r="F55" s="19">
        <f t="shared" si="11"/>
        <v>0</v>
      </c>
      <c r="G55" s="19">
        <f t="shared" si="12"/>
        <v>0</v>
      </c>
      <c r="H55" s="19">
        <f t="shared" si="13"/>
        <v>0</v>
      </c>
    </row>
    <row r="56" spans="1:8">
      <c r="A56" s="9"/>
      <c r="B56" s="9"/>
      <c r="C56" s="9"/>
      <c r="D56" s="9"/>
      <c r="E56" s="9"/>
      <c r="F56" s="9"/>
      <c r="G56" s="9"/>
      <c r="H56" s="9"/>
    </row>
    <row r="57" spans="1:8">
      <c r="A57" s="16" t="s">
        <v>596</v>
      </c>
      <c r="B57" s="9"/>
      <c r="C57" s="9"/>
      <c r="D57" s="9"/>
      <c r="E57" s="9"/>
      <c r="F57" s="9"/>
      <c r="G57" s="9"/>
      <c r="H57" s="9"/>
    </row>
    <row r="58" spans="1:8">
      <c r="A58" s="9" t="str">
        <f>A37</f>
        <v>Soybean</v>
      </c>
      <c r="B58" s="9"/>
      <c r="C58" s="9"/>
      <c r="D58" s="9"/>
      <c r="E58" s="9"/>
      <c r="F58" s="9"/>
      <c r="G58" s="9"/>
      <c r="H58" s="9"/>
    </row>
    <row r="59" spans="1:8">
      <c r="A59" s="9"/>
      <c r="B59" s="9"/>
      <c r="C59" s="9"/>
      <c r="D59" s="9"/>
      <c r="E59" s="9"/>
      <c r="F59" s="9"/>
      <c r="G59" s="9"/>
      <c r="H59" s="9"/>
    </row>
    <row r="60" spans="1:8">
      <c r="A60" s="9"/>
      <c r="B60" s="9"/>
      <c r="C60" s="9"/>
      <c r="D60" s="9"/>
      <c r="E60" s="9"/>
      <c r="F60" s="9"/>
      <c r="G60" s="9"/>
      <c r="H60" s="9"/>
    </row>
    <row r="61" spans="1:8">
      <c r="A61" s="9"/>
      <c r="B61" s="9"/>
      <c r="C61" s="9"/>
      <c r="D61" s="9"/>
      <c r="E61" s="9"/>
      <c r="F61" s="9"/>
      <c r="G61" s="9"/>
      <c r="H61" s="9"/>
    </row>
    <row r="62" spans="1:8">
      <c r="A62" s="9" t="s">
        <v>597</v>
      </c>
      <c r="B62" s="20"/>
      <c r="C62" s="20"/>
      <c r="D62" s="20"/>
      <c r="E62" s="20"/>
      <c r="F62" s="20"/>
      <c r="G62" s="20"/>
      <c r="H62" s="20"/>
    </row>
    <row r="63" spans="1:8">
      <c r="A63" s="9"/>
      <c r="B63" s="20">
        <f>B38*80%</f>
        <v>0</v>
      </c>
      <c r="C63" s="20">
        <f t="shared" ref="C63:H63" si="14">C38*80%</f>
        <v>0</v>
      </c>
      <c r="D63" s="20">
        <f t="shared" si="14"/>
        <v>0</v>
      </c>
      <c r="E63" s="20">
        <f t="shared" si="14"/>
        <v>0</v>
      </c>
      <c r="F63" s="20">
        <f t="shared" si="14"/>
        <v>0</v>
      </c>
      <c r="G63" s="20">
        <f t="shared" si="14"/>
        <v>0</v>
      </c>
      <c r="H63" s="20">
        <f t="shared" si="14"/>
        <v>0</v>
      </c>
    </row>
    <row r="64" spans="1:8">
      <c r="A64" s="9" t="s">
        <v>598</v>
      </c>
      <c r="B64" s="20">
        <f t="shared" ref="B64:H64" si="15">B39*35%</f>
        <v>0</v>
      </c>
      <c r="C64" s="20">
        <f t="shared" si="15"/>
        <v>0</v>
      </c>
      <c r="D64" s="20">
        <f t="shared" si="15"/>
        <v>0</v>
      </c>
      <c r="E64" s="20">
        <f t="shared" si="15"/>
        <v>0</v>
      </c>
      <c r="F64" s="20">
        <f t="shared" si="15"/>
        <v>0</v>
      </c>
      <c r="G64" s="20">
        <f t="shared" si="15"/>
        <v>0</v>
      </c>
      <c r="H64" s="20">
        <f t="shared" si="15"/>
        <v>0</v>
      </c>
    </row>
    <row r="65" spans="1:8">
      <c r="A65" s="9" t="str">
        <f>A39</f>
        <v>Paddy/Rice</v>
      </c>
      <c r="B65" s="58">
        <f t="shared" ref="B65:H65" si="16">B39*65%</f>
        <v>0</v>
      </c>
      <c r="C65" s="58">
        <f t="shared" si="16"/>
        <v>0</v>
      </c>
      <c r="D65" s="58">
        <f t="shared" si="16"/>
        <v>0</v>
      </c>
      <c r="E65" s="58">
        <f t="shared" si="16"/>
        <v>0</v>
      </c>
      <c r="F65" s="58">
        <f t="shared" si="16"/>
        <v>0</v>
      </c>
      <c r="G65" s="58">
        <f t="shared" si="16"/>
        <v>0</v>
      </c>
      <c r="H65" s="58">
        <f t="shared" si="16"/>
        <v>0</v>
      </c>
    </row>
    <row r="66" spans="1:8">
      <c r="A66" s="9"/>
      <c r="B66" s="19"/>
      <c r="C66" s="19"/>
      <c r="D66" s="19"/>
      <c r="E66" s="19"/>
      <c r="F66" s="19"/>
      <c r="G66" s="19"/>
      <c r="H66" s="19"/>
    </row>
    <row r="67" spans="1:8">
      <c r="A67" s="9"/>
      <c r="B67" s="19"/>
      <c r="C67" s="19"/>
      <c r="D67" s="19"/>
      <c r="E67" s="19"/>
      <c r="F67" s="19"/>
      <c r="G67" s="19"/>
      <c r="H67" s="19"/>
    </row>
    <row r="68" spans="1:8">
      <c r="A68" s="9"/>
      <c r="B68" s="19"/>
      <c r="C68" s="19"/>
      <c r="D68" s="19"/>
      <c r="E68" s="19"/>
      <c r="F68" s="19"/>
      <c r="G68" s="19"/>
      <c r="H68" s="19"/>
    </row>
    <row r="69" spans="1:8">
      <c r="A69" s="9" t="str">
        <f>A40</f>
        <v>Green Gram/ Moong</v>
      </c>
      <c r="B69" s="19"/>
      <c r="C69" s="19"/>
      <c r="D69" s="19"/>
      <c r="E69" s="19"/>
      <c r="F69" s="19"/>
      <c r="G69" s="19"/>
      <c r="H69" s="19"/>
    </row>
    <row r="70" spans="1:8">
      <c r="A70" s="9" t="s">
        <v>599</v>
      </c>
      <c r="B70" s="19">
        <f>B40*80%</f>
        <v>0</v>
      </c>
      <c r="C70" s="19">
        <f t="shared" ref="C70:H70" si="17">C40*80%</f>
        <v>0</v>
      </c>
      <c r="D70" s="19">
        <f t="shared" si="17"/>
        <v>0</v>
      </c>
      <c r="E70" s="19">
        <f t="shared" si="17"/>
        <v>0</v>
      </c>
      <c r="F70" s="19">
        <f t="shared" si="17"/>
        <v>0</v>
      </c>
      <c r="G70" s="19">
        <f t="shared" si="17"/>
        <v>0</v>
      </c>
      <c r="H70" s="19">
        <f t="shared" si="17"/>
        <v>0</v>
      </c>
    </row>
    <row r="71" spans="1:8">
      <c r="A71" s="9" t="s">
        <v>598</v>
      </c>
      <c r="B71" s="19">
        <f>B40*20%</f>
        <v>0</v>
      </c>
      <c r="C71" s="19">
        <f t="shared" ref="C71:H71" si="18">C40*20%</f>
        <v>0</v>
      </c>
      <c r="D71" s="19">
        <f t="shared" si="18"/>
        <v>0</v>
      </c>
      <c r="E71" s="19">
        <f t="shared" si="18"/>
        <v>0</v>
      </c>
      <c r="F71" s="19">
        <f t="shared" si="18"/>
        <v>0</v>
      </c>
      <c r="G71" s="19">
        <f t="shared" si="18"/>
        <v>0</v>
      </c>
      <c r="H71" s="19">
        <f t="shared" si="18"/>
        <v>0</v>
      </c>
    </row>
    <row r="72" spans="1:8">
      <c r="A72" s="9" t="str">
        <f>A41</f>
        <v>Maize</v>
      </c>
      <c r="B72" s="19"/>
      <c r="C72" s="19"/>
      <c r="D72" s="19"/>
      <c r="E72" s="19"/>
      <c r="F72" s="19"/>
      <c r="G72" s="19"/>
      <c r="H72" s="19"/>
    </row>
    <row r="73" spans="1:8">
      <c r="A73" s="9"/>
      <c r="B73" s="19"/>
      <c r="C73" s="19"/>
      <c r="D73" s="19"/>
      <c r="E73" s="19"/>
      <c r="F73" s="19"/>
      <c r="G73" s="19"/>
      <c r="H73" s="19"/>
    </row>
    <row r="74" spans="1:8">
      <c r="A74" s="9"/>
      <c r="B74" s="19"/>
      <c r="C74" s="19"/>
      <c r="D74" s="19"/>
      <c r="E74" s="19"/>
      <c r="F74" s="19"/>
      <c r="G74" s="19"/>
      <c r="H74" s="19"/>
    </row>
    <row r="75" spans="1:8">
      <c r="A75" s="9"/>
      <c r="B75" s="19"/>
      <c r="C75" s="19"/>
      <c r="D75" s="19"/>
      <c r="E75" s="19"/>
      <c r="F75" s="19"/>
      <c r="G75" s="19"/>
      <c r="H75" s="19"/>
    </row>
    <row r="76" spans="1:8">
      <c r="A76" s="9"/>
      <c r="B76" s="19"/>
      <c r="C76" s="19"/>
      <c r="D76" s="19"/>
      <c r="E76" s="19"/>
      <c r="F76" s="19"/>
      <c r="G76" s="19"/>
      <c r="H76" s="19"/>
    </row>
    <row r="77" spans="1:8">
      <c r="A77" s="9" t="str">
        <f>A42</f>
        <v>Black Gram/Udid</v>
      </c>
      <c r="B77" s="19"/>
      <c r="C77" s="19"/>
      <c r="D77" s="19"/>
      <c r="E77" s="19"/>
      <c r="F77" s="19"/>
      <c r="G77" s="19"/>
      <c r="H77" s="19"/>
    </row>
    <row r="78" spans="1:8">
      <c r="A78" s="9" t="s">
        <v>599</v>
      </c>
      <c r="B78" s="19">
        <f t="shared" ref="B78:H78" si="19">B42*80%</f>
        <v>0</v>
      </c>
      <c r="C78" s="19">
        <f t="shared" si="19"/>
        <v>0</v>
      </c>
      <c r="D78" s="19">
        <f t="shared" si="19"/>
        <v>0</v>
      </c>
      <c r="E78" s="19">
        <f t="shared" si="19"/>
        <v>0</v>
      </c>
      <c r="F78" s="19">
        <f t="shared" si="19"/>
        <v>0</v>
      </c>
      <c r="G78" s="19">
        <f t="shared" si="19"/>
        <v>0</v>
      </c>
      <c r="H78" s="19">
        <f t="shared" si="19"/>
        <v>0</v>
      </c>
    </row>
    <row r="79" spans="1:8">
      <c r="A79" s="9" t="s">
        <v>598</v>
      </c>
      <c r="B79" s="19">
        <f t="shared" ref="B79:H79" si="20">B42*20%</f>
        <v>0</v>
      </c>
      <c r="C79" s="19">
        <f t="shared" si="20"/>
        <v>0</v>
      </c>
      <c r="D79" s="19">
        <f t="shared" si="20"/>
        <v>0</v>
      </c>
      <c r="E79" s="19">
        <f t="shared" si="20"/>
        <v>0</v>
      </c>
      <c r="F79" s="19">
        <f t="shared" si="20"/>
        <v>0</v>
      </c>
      <c r="G79" s="19">
        <f t="shared" si="20"/>
        <v>0</v>
      </c>
      <c r="H79" s="19">
        <f t="shared" si="20"/>
        <v>0</v>
      </c>
    </row>
    <row r="80" spans="1:8">
      <c r="A80" s="9" t="str">
        <f>A43</f>
        <v>Bajra</v>
      </c>
      <c r="B80" s="19"/>
      <c r="C80" s="19"/>
      <c r="D80" s="19"/>
      <c r="E80" s="19"/>
      <c r="F80" s="19"/>
      <c r="G80" s="19"/>
      <c r="H80" s="19"/>
    </row>
    <row r="81" spans="1:8">
      <c r="A81" s="9"/>
      <c r="B81" s="19"/>
      <c r="C81" s="19"/>
      <c r="D81" s="19"/>
      <c r="E81" s="19"/>
      <c r="F81" s="19"/>
      <c r="G81" s="19"/>
      <c r="H81" s="19"/>
    </row>
    <row r="82" spans="1:8">
      <c r="A82" s="9"/>
      <c r="B82" s="19"/>
      <c r="C82" s="19"/>
      <c r="D82" s="19"/>
      <c r="E82" s="19"/>
      <c r="F82" s="19"/>
      <c r="G82" s="19"/>
      <c r="H82" s="19"/>
    </row>
    <row r="83" spans="1:8">
      <c r="A83" s="9" t="str">
        <f>A44</f>
        <v>Jawar</v>
      </c>
      <c r="B83" s="19"/>
      <c r="C83" s="19"/>
      <c r="D83" s="19"/>
      <c r="E83" s="19"/>
      <c r="F83" s="19"/>
      <c r="G83" s="19"/>
      <c r="H83" s="19"/>
    </row>
    <row r="84" spans="1:8">
      <c r="A84" s="9"/>
      <c r="B84" s="19"/>
      <c r="C84" s="19"/>
      <c r="D84" s="19"/>
      <c r="E84" s="19"/>
      <c r="F84" s="19"/>
      <c r="G84" s="19"/>
      <c r="H84" s="19"/>
    </row>
    <row r="85" spans="1:8">
      <c r="A85" s="9"/>
      <c r="B85" s="19"/>
      <c r="C85" s="19"/>
      <c r="D85" s="19"/>
      <c r="E85" s="19"/>
      <c r="F85" s="19"/>
      <c r="G85" s="19"/>
      <c r="H85" s="19"/>
    </row>
    <row r="86" spans="1:8">
      <c r="A86" s="9"/>
      <c r="B86" s="19"/>
      <c r="C86" s="19"/>
      <c r="D86" s="19"/>
      <c r="E86" s="19"/>
      <c r="F86" s="19"/>
      <c r="G86" s="19"/>
      <c r="H86" s="19"/>
    </row>
    <row r="87" spans="1:8">
      <c r="A87" s="9" t="str">
        <f>A45</f>
        <v>Sunflower</v>
      </c>
      <c r="B87" s="19"/>
      <c r="C87" s="19"/>
      <c r="D87" s="19"/>
      <c r="E87" s="19"/>
      <c r="F87" s="19"/>
      <c r="G87" s="19"/>
      <c r="H87" s="19"/>
    </row>
    <row r="88" spans="1:8">
      <c r="A88" s="9"/>
      <c r="B88" s="19"/>
      <c r="C88" s="19"/>
      <c r="D88" s="19"/>
      <c r="E88" s="19"/>
      <c r="F88" s="19"/>
      <c r="G88" s="19"/>
      <c r="H88" s="19"/>
    </row>
    <row r="89" spans="1:8">
      <c r="A89" s="9"/>
      <c r="B89" s="19"/>
      <c r="C89" s="19"/>
      <c r="D89" s="19"/>
      <c r="E89" s="19"/>
      <c r="F89" s="19"/>
      <c r="G89" s="19"/>
      <c r="H89" s="19"/>
    </row>
    <row r="90" spans="1:8">
      <c r="A90" s="9"/>
      <c r="B90" s="19"/>
      <c r="C90" s="19"/>
      <c r="D90" s="19"/>
      <c r="E90" s="19"/>
      <c r="F90" s="19"/>
      <c r="G90" s="19"/>
      <c r="H90" s="19"/>
    </row>
    <row r="91" spans="1:8">
      <c r="A91" s="9" t="str">
        <f>A46</f>
        <v>Wheat</v>
      </c>
      <c r="B91" s="19"/>
      <c r="C91" s="19"/>
      <c r="D91" s="19"/>
      <c r="E91" s="19"/>
      <c r="F91" s="19"/>
      <c r="G91" s="19"/>
      <c r="H91" s="19"/>
    </row>
    <row r="92" spans="1:8">
      <c r="A92" s="9"/>
      <c r="B92" s="19"/>
      <c r="C92" s="19"/>
      <c r="D92" s="19"/>
      <c r="E92" s="19"/>
      <c r="F92" s="19"/>
      <c r="G92" s="19"/>
      <c r="H92" s="19"/>
    </row>
    <row r="93" spans="1:8">
      <c r="A93" s="9"/>
      <c r="B93" s="19"/>
      <c r="C93" s="19"/>
      <c r="D93" s="19"/>
      <c r="E93" s="19"/>
      <c r="F93" s="19"/>
      <c r="G93" s="19"/>
      <c r="H93" s="19"/>
    </row>
    <row r="94" spans="1:8">
      <c r="A94" s="9" t="str">
        <f>A47</f>
        <v>Bengal Gram/Channa</v>
      </c>
      <c r="B94" s="19"/>
      <c r="C94" s="19"/>
      <c r="D94" s="19"/>
      <c r="E94" s="19"/>
      <c r="F94" s="19"/>
      <c r="G94" s="19"/>
      <c r="H94" s="19"/>
    </row>
    <row r="95" spans="1:8">
      <c r="A95" s="9" t="s">
        <v>599</v>
      </c>
      <c r="B95" s="19">
        <f t="shared" ref="B95:H95" si="21">B47*80%</f>
        <v>0</v>
      </c>
      <c r="C95" s="19">
        <f t="shared" si="21"/>
        <v>0</v>
      </c>
      <c r="D95" s="19">
        <f t="shared" si="21"/>
        <v>0</v>
      </c>
      <c r="E95" s="19">
        <f t="shared" si="21"/>
        <v>0</v>
      </c>
      <c r="F95" s="19">
        <f t="shared" si="21"/>
        <v>0</v>
      </c>
      <c r="G95" s="19">
        <f t="shared" si="21"/>
        <v>0</v>
      </c>
      <c r="H95" s="19">
        <f t="shared" si="21"/>
        <v>0</v>
      </c>
    </row>
    <row r="96" spans="1:8">
      <c r="A96" s="9" t="s">
        <v>598</v>
      </c>
      <c r="B96" s="19">
        <f t="shared" ref="B96:H96" si="22">B47*20%</f>
        <v>0</v>
      </c>
      <c r="C96" s="19">
        <f t="shared" si="22"/>
        <v>0</v>
      </c>
      <c r="D96" s="19">
        <f t="shared" si="22"/>
        <v>0</v>
      </c>
      <c r="E96" s="19">
        <f t="shared" si="22"/>
        <v>0</v>
      </c>
      <c r="F96" s="19">
        <f t="shared" si="22"/>
        <v>0</v>
      </c>
      <c r="G96" s="19">
        <f t="shared" si="22"/>
        <v>0</v>
      </c>
      <c r="H96" s="19">
        <f t="shared" si="22"/>
        <v>0</v>
      </c>
    </row>
    <row r="97" spans="1:8">
      <c r="A97" s="9" t="str">
        <f>A48</f>
        <v>Jawar</v>
      </c>
      <c r="B97" s="19"/>
      <c r="C97" s="19"/>
      <c r="D97" s="19"/>
      <c r="E97" s="19"/>
      <c r="F97" s="19"/>
      <c r="G97" s="19"/>
      <c r="H97" s="19"/>
    </row>
    <row r="98" spans="1:8">
      <c r="A98" s="9"/>
      <c r="B98" s="19"/>
      <c r="C98" s="19"/>
      <c r="D98" s="19"/>
      <c r="E98" s="19"/>
      <c r="F98" s="19"/>
      <c r="G98" s="19"/>
      <c r="H98" s="19"/>
    </row>
    <row r="99" spans="1:8">
      <c r="A99" s="9"/>
      <c r="B99" s="19"/>
      <c r="C99" s="19"/>
      <c r="D99" s="19"/>
      <c r="E99" s="19"/>
      <c r="F99" s="19"/>
      <c r="G99" s="19"/>
      <c r="H99" s="19"/>
    </row>
    <row r="100" spans="1:8">
      <c r="A100" s="9" t="str">
        <f>A49</f>
        <v>Maize</v>
      </c>
      <c r="B100" s="19"/>
      <c r="C100" s="19"/>
      <c r="D100" s="19"/>
      <c r="E100" s="19"/>
      <c r="F100" s="19"/>
      <c r="G100" s="19"/>
      <c r="H100" s="19"/>
    </row>
    <row r="101" spans="1:8">
      <c r="A101" s="9"/>
      <c r="B101" s="19"/>
      <c r="C101" s="19"/>
      <c r="D101" s="19"/>
      <c r="E101" s="19"/>
      <c r="F101" s="19"/>
      <c r="G101" s="19"/>
      <c r="H101" s="19"/>
    </row>
    <row r="102" spans="1:8">
      <c r="A102" s="9"/>
      <c r="B102" s="19"/>
      <c r="C102" s="19"/>
      <c r="D102" s="19"/>
      <c r="E102" s="19"/>
      <c r="F102" s="19"/>
      <c r="G102" s="19"/>
      <c r="H102" s="19"/>
    </row>
    <row r="103" spans="1:8">
      <c r="A103" s="9" t="str">
        <f>A50</f>
        <v>Safflower</v>
      </c>
      <c r="B103" s="19"/>
      <c r="C103" s="19"/>
      <c r="D103" s="19"/>
      <c r="E103" s="19"/>
      <c r="F103" s="19"/>
      <c r="G103" s="19"/>
      <c r="H103" s="19"/>
    </row>
    <row r="104" spans="1:8">
      <c r="A104" s="9"/>
      <c r="B104" s="19"/>
      <c r="C104" s="19"/>
      <c r="D104" s="19"/>
      <c r="E104" s="19"/>
      <c r="F104" s="19"/>
      <c r="G104" s="19"/>
      <c r="H104" s="19"/>
    </row>
    <row r="105" spans="1:8">
      <c r="A105" s="9"/>
      <c r="B105" s="19"/>
      <c r="C105" s="19"/>
      <c r="D105" s="19"/>
      <c r="E105" s="19"/>
      <c r="F105" s="19"/>
      <c r="G105" s="19"/>
      <c r="H105" s="19"/>
    </row>
    <row r="106" spans="1:8">
      <c r="A106" s="9">
        <f>A51</f>
        <v>0</v>
      </c>
      <c r="B106" s="19"/>
      <c r="C106" s="19"/>
      <c r="D106" s="19"/>
      <c r="E106" s="19"/>
      <c r="F106" s="19"/>
      <c r="G106" s="19"/>
      <c r="H106" s="19"/>
    </row>
    <row r="107" spans="1:8">
      <c r="A107" s="9"/>
      <c r="B107" s="19"/>
      <c r="C107" s="19"/>
      <c r="D107" s="19"/>
      <c r="E107" s="19"/>
      <c r="F107" s="19"/>
      <c r="G107" s="19"/>
      <c r="H107" s="19"/>
    </row>
    <row r="108" spans="1:8">
      <c r="A108" s="9"/>
      <c r="B108" s="19"/>
      <c r="C108" s="19"/>
      <c r="D108" s="19"/>
      <c r="E108" s="19"/>
      <c r="F108" s="19"/>
      <c r="G108" s="19"/>
      <c r="H108" s="19"/>
    </row>
    <row r="109" spans="1:8">
      <c r="A109" s="9">
        <f>A52</f>
        <v>0</v>
      </c>
      <c r="B109" s="19"/>
      <c r="C109" s="19"/>
      <c r="D109" s="19"/>
      <c r="E109" s="19"/>
      <c r="F109" s="19"/>
      <c r="G109" s="19"/>
      <c r="H109" s="19"/>
    </row>
    <row r="110" spans="1:8">
      <c r="A110" s="9"/>
      <c r="B110" s="19"/>
      <c r="C110" s="19"/>
      <c r="D110" s="19"/>
      <c r="E110" s="19"/>
      <c r="F110" s="19"/>
      <c r="G110" s="19"/>
      <c r="H110" s="19"/>
    </row>
    <row r="111" spans="1:8">
      <c r="A111" s="9"/>
      <c r="B111" s="19"/>
      <c r="C111" s="19"/>
      <c r="D111" s="19"/>
      <c r="E111" s="19"/>
      <c r="F111" s="19"/>
      <c r="G111" s="19"/>
      <c r="H111" s="19"/>
    </row>
    <row r="112" spans="1:8">
      <c r="A112" s="9">
        <f>A53</f>
        <v>0</v>
      </c>
      <c r="B112" s="19"/>
      <c r="C112" s="19"/>
      <c r="D112" s="19"/>
      <c r="E112" s="19"/>
      <c r="F112" s="19"/>
      <c r="G112" s="19"/>
      <c r="H112" s="19"/>
    </row>
    <row r="113" spans="1:8">
      <c r="A113" s="9"/>
      <c r="B113" s="19"/>
      <c r="C113" s="19"/>
      <c r="D113" s="19"/>
      <c r="E113" s="19"/>
      <c r="F113" s="19"/>
      <c r="G113" s="19"/>
      <c r="H113" s="19"/>
    </row>
    <row r="114" spans="1:8">
      <c r="A114" s="9"/>
      <c r="B114" s="19"/>
      <c r="C114" s="19"/>
      <c r="D114" s="19"/>
      <c r="E114" s="19"/>
      <c r="F114" s="19"/>
      <c r="G114" s="19"/>
      <c r="H114" s="19"/>
    </row>
    <row r="115" spans="1:8">
      <c r="A115" s="9" t="str">
        <f>A54</f>
        <v>Groundnut</v>
      </c>
      <c r="B115" s="19"/>
      <c r="C115" s="19"/>
      <c r="D115" s="19"/>
      <c r="E115" s="19"/>
      <c r="F115" s="19"/>
      <c r="G115" s="19"/>
      <c r="H115" s="19"/>
    </row>
    <row r="116" spans="1:8">
      <c r="A116" s="9"/>
      <c r="B116" s="19"/>
      <c r="C116" s="19"/>
      <c r="D116" s="19"/>
      <c r="E116" s="19"/>
      <c r="F116" s="19"/>
      <c r="G116" s="19"/>
      <c r="H116" s="19"/>
    </row>
    <row r="117" spans="1:8">
      <c r="A117" s="9"/>
      <c r="B117" s="19"/>
      <c r="C117" s="19"/>
      <c r="D117" s="19"/>
      <c r="E117" s="19"/>
      <c r="F117" s="19"/>
      <c r="G117" s="19"/>
      <c r="H117" s="19"/>
    </row>
    <row r="118" spans="1:8">
      <c r="A118" s="9">
        <f>A55</f>
        <v>0</v>
      </c>
      <c r="B118" s="19"/>
      <c r="C118" s="19"/>
      <c r="D118" s="19"/>
      <c r="E118" s="19"/>
      <c r="F118" s="19"/>
      <c r="G118" s="19"/>
      <c r="H118" s="19"/>
    </row>
    <row r="119" spans="1:8">
      <c r="A119" s="9"/>
      <c r="B119" s="19"/>
      <c r="C119" s="19"/>
      <c r="D119" s="19"/>
      <c r="E119" s="19"/>
      <c r="F119" s="19"/>
      <c r="G119" s="19"/>
      <c r="H119" s="19"/>
    </row>
    <row r="120" spans="1:8">
      <c r="A120" s="9"/>
      <c r="B120" s="19"/>
      <c r="C120" s="19"/>
      <c r="D120" s="19"/>
      <c r="E120" s="19"/>
      <c r="F120" s="19"/>
      <c r="G120" s="19"/>
      <c r="H120" s="19"/>
    </row>
    <row r="121" spans="1:8">
      <c r="A121" s="9">
        <f>A56</f>
        <v>0</v>
      </c>
      <c r="B121" s="19"/>
      <c r="C121" s="19"/>
      <c r="D121" s="19"/>
      <c r="E121" s="19"/>
      <c r="F121" s="19"/>
      <c r="G121" s="19"/>
      <c r="H121" s="19"/>
    </row>
    <row r="122" spans="1:8">
      <c r="A122" s="21"/>
      <c r="B122" s="22"/>
      <c r="C122" s="22"/>
      <c r="D122" s="22"/>
      <c r="E122" s="22"/>
      <c r="F122" s="22"/>
      <c r="G122" s="22"/>
      <c r="H122" s="22"/>
    </row>
    <row r="123" spans="1:8">
      <c r="A123" s="21"/>
      <c r="B123" s="22"/>
      <c r="C123" s="22"/>
      <c r="D123" s="22"/>
      <c r="E123" s="22"/>
      <c r="F123" s="22"/>
      <c r="G123" s="22"/>
      <c r="H123" s="22"/>
    </row>
    <row r="124" spans="1:8">
      <c r="A124" s="23" t="s">
        <v>600</v>
      </c>
      <c r="B124" s="1">
        <v>25</v>
      </c>
    </row>
    <row r="131" spans="1:10">
      <c r="A131" s="456" t="s">
        <v>601</v>
      </c>
      <c r="B131" s="456"/>
      <c r="C131" s="456"/>
      <c r="D131" s="456"/>
      <c r="E131" s="456"/>
      <c r="F131" s="456"/>
      <c r="G131" s="456"/>
      <c r="H131" s="456"/>
      <c r="I131" s="456"/>
      <c r="J131" s="456"/>
    </row>
    <row r="132" spans="1:10">
      <c r="A132" s="25"/>
      <c r="B132" s="25"/>
      <c r="C132" s="25"/>
      <c r="D132" s="25"/>
      <c r="E132" s="25"/>
      <c r="F132" s="25"/>
      <c r="G132" s="25"/>
      <c r="H132" s="25"/>
    </row>
    <row r="133" spans="1:10">
      <c r="A133" s="25"/>
      <c r="B133" s="25"/>
      <c r="C133" s="25"/>
      <c r="D133" s="26">
        <v>1</v>
      </c>
      <c r="E133" s="26">
        <f>(D133*5%)+D133</f>
        <v>1.05</v>
      </c>
      <c r="F133" s="26">
        <f t="shared" ref="F133:J133" si="23">(E133*5%)+E133</f>
        <v>1.1025</v>
      </c>
      <c r="G133" s="26">
        <f t="shared" si="23"/>
        <v>1.1576250000000001</v>
      </c>
      <c r="H133" s="26">
        <f t="shared" si="23"/>
        <v>1.2155062500000002</v>
      </c>
      <c r="I133" s="26">
        <f t="shared" si="23"/>
        <v>1.2762815625000004</v>
      </c>
      <c r="J133" s="26">
        <f t="shared" si="23"/>
        <v>1.3400956406250004</v>
      </c>
    </row>
    <row r="135" spans="1:10">
      <c r="A135" s="28" t="s">
        <v>145</v>
      </c>
      <c r="B135" s="28" t="s">
        <v>115</v>
      </c>
      <c r="C135" s="28" t="s">
        <v>126</v>
      </c>
      <c r="D135" s="29" t="s">
        <v>148</v>
      </c>
      <c r="E135" s="29" t="s">
        <v>149</v>
      </c>
      <c r="F135" s="29" t="s">
        <v>150</v>
      </c>
      <c r="G135" s="29" t="s">
        <v>151</v>
      </c>
      <c r="H135" s="29" t="s">
        <v>152</v>
      </c>
      <c r="I135" s="29" t="s">
        <v>153</v>
      </c>
      <c r="J135" s="29" t="s">
        <v>154</v>
      </c>
    </row>
    <row r="136" spans="1:10">
      <c r="A136" s="9"/>
      <c r="B136" s="9"/>
      <c r="C136" s="9"/>
      <c r="D136" s="9"/>
      <c r="E136" s="9"/>
      <c r="F136" s="9"/>
      <c r="G136" s="9"/>
      <c r="H136" s="9"/>
      <c r="I136" s="9"/>
      <c r="J136" s="9"/>
    </row>
    <row r="137" spans="1:10">
      <c r="A137" s="16" t="s">
        <v>343</v>
      </c>
      <c r="B137" s="16"/>
      <c r="C137" s="16"/>
      <c r="D137" s="30"/>
      <c r="E137" s="30"/>
      <c r="F137" s="30"/>
      <c r="G137" s="30"/>
      <c r="H137" s="30"/>
      <c r="I137" s="9"/>
      <c r="J137" s="9"/>
    </row>
    <row r="138" spans="1:10">
      <c r="A138" s="16" t="s">
        <v>602</v>
      </c>
      <c r="B138" s="16"/>
      <c r="C138" s="16"/>
      <c r="D138" s="9"/>
      <c r="E138" s="9"/>
      <c r="F138" s="9"/>
      <c r="G138" s="9"/>
      <c r="H138" s="9"/>
      <c r="I138" s="9"/>
      <c r="J138" s="9"/>
    </row>
    <row r="139" spans="1:10">
      <c r="A139" s="9"/>
      <c r="B139" s="31"/>
      <c r="C139" s="31"/>
      <c r="D139" s="19">
        <f>(((B95*100)*(1-'5.Closing Stock &amp; W Capital'!$D$17))/$B$124)*$C$139*D133</f>
        <v>0</v>
      </c>
      <c r="E139" s="19">
        <f>E133*((((C95*100)*(1-'5.Closing Stock &amp; W Capital'!$D$17))+((B95*100)*'5.Closing Stock &amp; W Capital'!$D$17))/$B$124)*$C$139</f>
        <v>0</v>
      </c>
      <c r="F139" s="19">
        <f>F133*((((D95*100)*(1-'5.Closing Stock &amp; W Capital'!$D$17))+((C95*100)*'5.Closing Stock &amp; W Capital'!$D$17))/$B$124)*$C$139</f>
        <v>0</v>
      </c>
      <c r="G139" s="19">
        <f>G133*((((E95*100)*(1-'5.Closing Stock &amp; W Capital'!$D$17))+((D95*100)*'5.Closing Stock &amp; W Capital'!$D$17))/$B$124)*$C$139</f>
        <v>0</v>
      </c>
      <c r="H139" s="19">
        <f>H133*((((F95*100)*(1-'5.Closing Stock &amp; W Capital'!$D$17))+((E95*100)*'5.Closing Stock &amp; W Capital'!$D$17))/$B$124)*$C$139</f>
        <v>0</v>
      </c>
      <c r="I139" s="19">
        <f>I133*((((G95*100)*(1-'5.Closing Stock &amp; W Capital'!$D$17))+((F95*100)*'5.Closing Stock &amp; W Capital'!$D$17))/$B$124)*$C$139</f>
        <v>0</v>
      </c>
      <c r="J139" s="19">
        <f>J133*((((H95*100)*(1-'5.Closing Stock &amp; W Capital'!$D$17))+((G95*100)*'5.Closing Stock &amp; W Capital'!$D$17))/$B$124)*$C$139</f>
        <v>0</v>
      </c>
    </row>
    <row r="140" spans="1:10">
      <c r="A140" s="9"/>
      <c r="B140" s="31"/>
      <c r="C140" s="31"/>
      <c r="D140" s="19">
        <f>(((B63*100)*(1-'5.Closing Stock &amp; W Capital'!$D$17))/B124)*$C$140*D133</f>
        <v>0</v>
      </c>
      <c r="E140" s="19">
        <f>((((C63*100)*(1-'5.Closing Stock &amp; W Capital'!$D$17))+((B63*100)*'5.Closing Stock &amp; W Capital'!$D$17))/$B$124)*$C$140*E133</f>
        <v>0</v>
      </c>
      <c r="F140" s="19">
        <f>((((D63*100)*(1-'5.Closing Stock &amp; W Capital'!$D$17))+((C63*100)*'5.Closing Stock &amp; W Capital'!$D$17))/$B$124)*$C$140*F133</f>
        <v>0</v>
      </c>
      <c r="G140" s="19">
        <f>((((E63*100)*(1-'5.Closing Stock &amp; W Capital'!$D$17))+((D63*100)*'5.Closing Stock &amp; W Capital'!$D$17))/$B$124)*$C$140*G133</f>
        <v>0</v>
      </c>
      <c r="H140" s="19">
        <f>((((F63*100)*(1-'5.Closing Stock &amp; W Capital'!$D$17))+((E63*100)*'5.Closing Stock &amp; W Capital'!$D$17))/$B$124)*$C$140*H133</f>
        <v>0</v>
      </c>
      <c r="I140" s="19">
        <f>((((G63*100)*(1-'5.Closing Stock &amp; W Capital'!$D$17))+((F63*100)*'5.Closing Stock &amp; W Capital'!$D$17))/$B$124)*$C$140*I133</f>
        <v>0</v>
      </c>
      <c r="J140" s="19">
        <f>((((H63*100)*(1-'5.Closing Stock &amp; W Capital'!$D$17))+((G63*100)*'5.Closing Stock &amp; W Capital'!$D$17))/$B$124)*$C$140*J133</f>
        <v>0</v>
      </c>
    </row>
    <row r="141" spans="1:10">
      <c r="A141" s="9"/>
      <c r="B141" s="31"/>
      <c r="C141" s="31"/>
      <c r="D141" s="19">
        <f>(((B78*100)*(1-'5.Closing Stock &amp; W Capital'!D17))/$B$124)*$C$141*D133</f>
        <v>0</v>
      </c>
      <c r="E141" s="19">
        <f>((((C78*100)*(1-'5.Closing Stock &amp; W Capital'!$D$17))+((B78*100)*'5.Closing Stock &amp; W Capital'!$D$17))/$B$124)*$C$141*E133</f>
        <v>0</v>
      </c>
      <c r="F141" s="19">
        <f>((((D78*100)*(1-'5.Closing Stock &amp; W Capital'!$D$17))+((C78*100)*'5.Closing Stock &amp; W Capital'!$D$17))/$B$124)*$C$141*F133</f>
        <v>0</v>
      </c>
      <c r="G141" s="19">
        <f>((((E78*100)*(1-'5.Closing Stock &amp; W Capital'!$D$17))+((D78*100)*'5.Closing Stock &amp; W Capital'!$D$17))/$B$124)*$C$141*G133</f>
        <v>0</v>
      </c>
      <c r="H141" s="19">
        <f>((((F78*100)*(1-'5.Closing Stock &amp; W Capital'!$D$17))+((E78*100)*'5.Closing Stock &amp; W Capital'!$D$17))/$B$124)*$C$141*H133</f>
        <v>0</v>
      </c>
      <c r="I141" s="19">
        <f>((((G78*100)*(1-'5.Closing Stock &amp; W Capital'!$D$17))+((F78*100)*'5.Closing Stock &amp; W Capital'!$D$17))/$B$124)*$C$141*I133</f>
        <v>0</v>
      </c>
      <c r="J141" s="19">
        <f>((((H78*100)*(1-'5.Closing Stock &amp; W Capital'!$D$17))+((G78*100)*'5.Closing Stock &amp; W Capital'!$D$17))/$B$124)*$C$141*J133</f>
        <v>0</v>
      </c>
    </row>
    <row r="142" spans="1:10">
      <c r="A142" s="9" t="s">
        <v>603</v>
      </c>
      <c r="B142" s="31" t="s">
        <v>604</v>
      </c>
      <c r="C142" s="31">
        <v>900</v>
      </c>
      <c r="D142" s="19">
        <f>(((B65*100)*(1-'5.Closing Stock &amp; W Capital'!D17))/B124)*$C$142*D133</f>
        <v>0</v>
      </c>
      <c r="E142" s="19">
        <f>((((C65*100)*(1-'5.Closing Stock &amp; W Capital'!$D$17))+((B70*100)*'5.Closing Stock &amp; W Capital'!$D$17))/$B$124)*$C$142*E133</f>
        <v>0</v>
      </c>
      <c r="F142" s="19">
        <f>((((D65*100)*(1-'5.Closing Stock &amp; W Capital'!$D$17))+((C70*100)*'5.Closing Stock &amp; W Capital'!$D$17))/$B$124)*$C$142*F133</f>
        <v>0</v>
      </c>
      <c r="G142" s="19">
        <f>((((E65*100)*(1-'5.Closing Stock &amp; W Capital'!$D$17))+((D70*100)*'5.Closing Stock &amp; W Capital'!$D$17))/$B$124)*$C$142*G133</f>
        <v>0</v>
      </c>
      <c r="H142" s="19">
        <f>((((F65*100)*(1-'5.Closing Stock &amp; W Capital'!$D$17))+((E70*100)*'5.Closing Stock &amp; W Capital'!$D$17))/$B$124)*$C$142*H133</f>
        <v>0</v>
      </c>
      <c r="I142" s="19">
        <f>((((G65*100)*(1-'5.Closing Stock &amp; W Capital'!$D$17))+((F70*100)*'5.Closing Stock &amp; W Capital'!$D$17))/$B$124)*$C$142*I133</f>
        <v>0</v>
      </c>
      <c r="J142" s="19">
        <f>((((H65*100)*(1-'5.Closing Stock &amp; W Capital'!$D$17))+((G70*100)*'5.Closing Stock &amp; W Capital'!$D$17))/$B$124)*$C$142*J133</f>
        <v>0</v>
      </c>
    </row>
    <row r="143" spans="1:10">
      <c r="A143" s="9"/>
      <c r="B143" s="9"/>
      <c r="C143" s="9"/>
      <c r="D143" s="19"/>
      <c r="E143" s="19"/>
      <c r="F143" s="19"/>
      <c r="G143" s="19"/>
      <c r="H143" s="19"/>
      <c r="I143" s="19"/>
      <c r="J143" s="19"/>
    </row>
    <row r="144" spans="1:10">
      <c r="A144" s="16" t="s">
        <v>598</v>
      </c>
      <c r="B144" s="50" t="s">
        <v>605</v>
      </c>
      <c r="C144" s="50">
        <v>8</v>
      </c>
      <c r="D144" s="19">
        <f t="shared" ref="D144:J144" si="24">((B64)*100)*$C$144*D133</f>
        <v>0</v>
      </c>
      <c r="E144" s="19">
        <f t="shared" si="24"/>
        <v>0</v>
      </c>
      <c r="F144" s="19">
        <f t="shared" si="24"/>
        <v>0</v>
      </c>
      <c r="G144" s="19">
        <f t="shared" si="24"/>
        <v>0</v>
      </c>
      <c r="H144" s="19">
        <f t="shared" si="24"/>
        <v>0</v>
      </c>
      <c r="I144" s="19">
        <f t="shared" si="24"/>
        <v>0</v>
      </c>
      <c r="J144" s="19">
        <f t="shared" si="24"/>
        <v>0</v>
      </c>
    </row>
    <row r="145" spans="1:11">
      <c r="A145" s="9"/>
      <c r="B145" s="31"/>
      <c r="C145" s="31"/>
      <c r="D145" s="19"/>
      <c r="E145" s="19"/>
      <c r="F145" s="19"/>
      <c r="G145" s="19"/>
      <c r="H145" s="19"/>
      <c r="I145" s="19"/>
      <c r="J145" s="19"/>
      <c r="K145" s="59">
        <f>[2]Output!T58*70*K133</f>
        <v>0</v>
      </c>
    </row>
    <row r="146" spans="1:11">
      <c r="A146" s="16" t="s">
        <v>575</v>
      </c>
      <c r="B146" s="50" t="s">
        <v>605</v>
      </c>
      <c r="C146" s="31">
        <v>4</v>
      </c>
      <c r="D146" s="19">
        <f t="shared" ref="D146:J146" si="25">(B35*100)*$C$146*D133</f>
        <v>0</v>
      </c>
      <c r="E146" s="19">
        <f t="shared" si="25"/>
        <v>0</v>
      </c>
      <c r="F146" s="19">
        <f t="shared" si="25"/>
        <v>0</v>
      </c>
      <c r="G146" s="19">
        <f t="shared" si="25"/>
        <v>0</v>
      </c>
      <c r="H146" s="19">
        <f t="shared" si="25"/>
        <v>0</v>
      </c>
      <c r="I146" s="19">
        <f t="shared" si="25"/>
        <v>0</v>
      </c>
      <c r="J146" s="19">
        <f t="shared" si="25"/>
        <v>0</v>
      </c>
    </row>
    <row r="147" spans="1:11">
      <c r="A147" s="9"/>
      <c r="B147" s="9"/>
      <c r="C147" s="9"/>
      <c r="D147" s="19"/>
      <c r="E147" s="19"/>
      <c r="F147" s="19"/>
      <c r="G147" s="19"/>
      <c r="H147" s="19"/>
      <c r="I147" s="19"/>
      <c r="J147" s="19"/>
    </row>
    <row r="148" spans="1:11">
      <c r="A148" s="16" t="s">
        <v>343</v>
      </c>
      <c r="B148" s="16"/>
      <c r="C148" s="16"/>
      <c r="D148" s="18">
        <f>SUM(D139:D146)</f>
        <v>0</v>
      </c>
      <c r="E148" s="18">
        <f t="shared" ref="E148:J148" si="26">SUM(E139:E146)</f>
        <v>0</v>
      </c>
      <c r="F148" s="18">
        <f t="shared" si="26"/>
        <v>0</v>
      </c>
      <c r="G148" s="18">
        <f t="shared" si="26"/>
        <v>0</v>
      </c>
      <c r="H148" s="18">
        <f t="shared" si="26"/>
        <v>0</v>
      </c>
      <c r="I148" s="18">
        <f t="shared" si="26"/>
        <v>0</v>
      </c>
      <c r="J148" s="18">
        <f t="shared" si="26"/>
        <v>0</v>
      </c>
    </row>
    <row r="149" spans="1:11">
      <c r="A149" s="9"/>
      <c r="B149" s="9"/>
      <c r="C149" s="9"/>
      <c r="D149" s="19"/>
      <c r="E149" s="19"/>
      <c r="F149" s="19"/>
      <c r="G149" s="19"/>
      <c r="H149" s="19"/>
      <c r="I149" s="19"/>
      <c r="J149" s="19"/>
    </row>
    <row r="150" spans="1:11">
      <c r="A150" s="16" t="s">
        <v>576</v>
      </c>
      <c r="B150" s="16"/>
      <c r="C150" s="16"/>
      <c r="D150" s="19"/>
      <c r="E150" s="19"/>
      <c r="F150" s="19"/>
      <c r="G150" s="19"/>
      <c r="H150" s="19"/>
      <c r="I150" s="19"/>
      <c r="J150" s="19"/>
    </row>
    <row r="151" spans="1:11">
      <c r="A151" s="16" t="s">
        <v>345</v>
      </c>
      <c r="B151" s="16"/>
      <c r="C151" s="9"/>
      <c r="D151" s="19"/>
      <c r="E151" s="19"/>
      <c r="F151" s="19"/>
      <c r="G151" s="19"/>
      <c r="H151" s="19"/>
      <c r="I151" s="19"/>
      <c r="J151" s="19"/>
    </row>
    <row r="152" spans="1:11">
      <c r="A152" s="14" t="s">
        <v>318</v>
      </c>
      <c r="B152" s="31" t="s">
        <v>574</v>
      </c>
      <c r="C152" s="32">
        <v>0</v>
      </c>
      <c r="D152" s="19">
        <f t="shared" ref="D152:J152" si="27">(B47)*$C$152*D133</f>
        <v>0</v>
      </c>
      <c r="E152" s="19">
        <f t="shared" si="27"/>
        <v>0</v>
      </c>
      <c r="F152" s="19">
        <f t="shared" si="27"/>
        <v>0</v>
      </c>
      <c r="G152" s="19">
        <f t="shared" si="27"/>
        <v>0</v>
      </c>
      <c r="H152" s="19">
        <f t="shared" si="27"/>
        <v>0</v>
      </c>
      <c r="I152" s="19">
        <f t="shared" si="27"/>
        <v>0</v>
      </c>
      <c r="J152" s="19">
        <f t="shared" si="27"/>
        <v>0</v>
      </c>
    </row>
    <row r="153" spans="1:11">
      <c r="A153" s="9" t="s">
        <v>606</v>
      </c>
      <c r="B153" s="31" t="s">
        <v>574</v>
      </c>
      <c r="C153" s="32">
        <v>0</v>
      </c>
      <c r="D153" s="19">
        <f t="shared" ref="D153:J153" si="28">(B38)*$C$153*D133</f>
        <v>0</v>
      </c>
      <c r="E153" s="19">
        <f t="shared" si="28"/>
        <v>0</v>
      </c>
      <c r="F153" s="19">
        <f t="shared" si="28"/>
        <v>0</v>
      </c>
      <c r="G153" s="19">
        <f t="shared" si="28"/>
        <v>0</v>
      </c>
      <c r="H153" s="19">
        <f t="shared" si="28"/>
        <v>0</v>
      </c>
      <c r="I153" s="19">
        <f t="shared" si="28"/>
        <v>0</v>
      </c>
      <c r="J153" s="19">
        <f t="shared" si="28"/>
        <v>0</v>
      </c>
    </row>
    <row r="154" spans="1:11">
      <c r="A154" s="9" t="s">
        <v>607</v>
      </c>
      <c r="B154" s="31" t="s">
        <v>574</v>
      </c>
      <c r="C154" s="32">
        <v>0</v>
      </c>
      <c r="D154" s="19">
        <f t="shared" ref="D154:J154" si="29">(B42)*$C$154*D133</f>
        <v>0</v>
      </c>
      <c r="E154" s="19">
        <f t="shared" si="29"/>
        <v>0</v>
      </c>
      <c r="F154" s="19">
        <f t="shared" si="29"/>
        <v>0</v>
      </c>
      <c r="G154" s="19">
        <f t="shared" si="29"/>
        <v>0</v>
      </c>
      <c r="H154" s="19">
        <f t="shared" si="29"/>
        <v>0</v>
      </c>
      <c r="I154" s="19">
        <f t="shared" si="29"/>
        <v>0</v>
      </c>
      <c r="J154" s="19">
        <f t="shared" si="29"/>
        <v>0</v>
      </c>
    </row>
    <row r="155" spans="1:11">
      <c r="A155" s="9" t="s">
        <v>608</v>
      </c>
      <c r="B155" s="31" t="s">
        <v>574</v>
      </c>
      <c r="C155" s="32">
        <v>1900</v>
      </c>
      <c r="D155" s="19">
        <f t="shared" ref="D155:J155" si="30">(B32)*$C$155*D133</f>
        <v>0</v>
      </c>
      <c r="E155" s="19">
        <f t="shared" si="30"/>
        <v>0</v>
      </c>
      <c r="F155" s="19">
        <f t="shared" si="30"/>
        <v>0</v>
      </c>
      <c r="G155" s="19">
        <f t="shared" si="30"/>
        <v>0</v>
      </c>
      <c r="H155" s="19">
        <f t="shared" si="30"/>
        <v>0</v>
      </c>
      <c r="I155" s="19">
        <f t="shared" si="30"/>
        <v>0</v>
      </c>
      <c r="J155" s="19">
        <f t="shared" si="30"/>
        <v>0</v>
      </c>
    </row>
    <row r="156" spans="1:11">
      <c r="A156" s="9" t="s">
        <v>597</v>
      </c>
      <c r="B156" s="31">
        <v>1</v>
      </c>
      <c r="C156" s="31">
        <v>525</v>
      </c>
      <c r="D156" s="19">
        <f>(B32/10)*$B$156*$C$156*D133</f>
        <v>0</v>
      </c>
      <c r="E156" s="19">
        <f t="shared" ref="E156:J156" si="31">(C32/10)*$B$156*$C$156*E133</f>
        <v>0</v>
      </c>
      <c r="F156" s="19">
        <f t="shared" si="31"/>
        <v>0</v>
      </c>
      <c r="G156" s="19">
        <f t="shared" si="31"/>
        <v>0</v>
      </c>
      <c r="H156" s="19">
        <f t="shared" si="31"/>
        <v>0</v>
      </c>
      <c r="I156" s="19">
        <f t="shared" si="31"/>
        <v>0</v>
      </c>
      <c r="J156" s="19">
        <f t="shared" si="31"/>
        <v>0</v>
      </c>
    </row>
    <row r="157" spans="1:11">
      <c r="A157" s="9" t="s">
        <v>609</v>
      </c>
      <c r="B157" s="31">
        <v>18</v>
      </c>
      <c r="C157" s="31">
        <v>300</v>
      </c>
      <c r="D157" s="19">
        <f t="shared" ref="D157:J157" si="32">B12*$B$157*$C$157*D133</f>
        <v>0</v>
      </c>
      <c r="E157" s="19">
        <f t="shared" si="32"/>
        <v>0</v>
      </c>
      <c r="F157" s="19">
        <f t="shared" si="32"/>
        <v>0</v>
      </c>
      <c r="G157" s="19">
        <f t="shared" si="32"/>
        <v>0</v>
      </c>
      <c r="H157" s="19">
        <f t="shared" si="32"/>
        <v>0</v>
      </c>
      <c r="I157" s="19">
        <f t="shared" si="32"/>
        <v>0</v>
      </c>
      <c r="J157" s="19">
        <f t="shared" si="32"/>
        <v>0</v>
      </c>
    </row>
    <row r="158" spans="1:11">
      <c r="A158" s="9" t="s">
        <v>578</v>
      </c>
      <c r="B158" s="9">
        <f>'2.Capex Details'!H47*0.746*8</f>
        <v>0</v>
      </c>
      <c r="C158" s="31">
        <v>9</v>
      </c>
      <c r="D158" s="19">
        <f t="shared" ref="D158:J158" si="33">$B$158*$C$158*B12*D133</f>
        <v>0</v>
      </c>
      <c r="E158" s="19">
        <f t="shared" si="33"/>
        <v>0</v>
      </c>
      <c r="F158" s="19">
        <f t="shared" si="33"/>
        <v>0</v>
      </c>
      <c r="G158" s="19">
        <f t="shared" si="33"/>
        <v>0</v>
      </c>
      <c r="H158" s="19">
        <f t="shared" si="33"/>
        <v>0</v>
      </c>
      <c r="I158" s="19">
        <f t="shared" si="33"/>
        <v>0</v>
      </c>
      <c r="J158" s="19">
        <f t="shared" si="33"/>
        <v>0</v>
      </c>
    </row>
    <row r="159" spans="1:11">
      <c r="A159" s="9" t="s">
        <v>610</v>
      </c>
      <c r="B159" s="9"/>
      <c r="C159" s="31">
        <v>15</v>
      </c>
      <c r="D159" s="19">
        <f t="shared" ref="D159:J159" si="34">((B35*100)/50)*$C$159*D133</f>
        <v>0</v>
      </c>
      <c r="E159" s="19">
        <f t="shared" si="34"/>
        <v>0</v>
      </c>
      <c r="F159" s="19">
        <f t="shared" si="34"/>
        <v>0</v>
      </c>
      <c r="G159" s="19">
        <f t="shared" si="34"/>
        <v>0</v>
      </c>
      <c r="H159" s="19">
        <f t="shared" si="34"/>
        <v>0</v>
      </c>
      <c r="I159" s="19">
        <f t="shared" si="34"/>
        <v>0</v>
      </c>
      <c r="J159" s="19">
        <f t="shared" si="34"/>
        <v>0</v>
      </c>
    </row>
    <row r="160" spans="1:11">
      <c r="A160" s="33" t="s">
        <v>611</v>
      </c>
      <c r="B160" s="33"/>
      <c r="C160" s="34">
        <v>12.5</v>
      </c>
      <c r="D160" s="19">
        <f t="shared" ref="D160:J160" si="35">(((B65)*100)/25)*$C$160*D133</f>
        <v>0</v>
      </c>
      <c r="E160" s="19">
        <f t="shared" si="35"/>
        <v>0</v>
      </c>
      <c r="F160" s="19">
        <f t="shared" si="35"/>
        <v>0</v>
      </c>
      <c r="G160" s="19">
        <f t="shared" si="35"/>
        <v>0</v>
      </c>
      <c r="H160" s="19">
        <f t="shared" si="35"/>
        <v>0</v>
      </c>
      <c r="I160" s="19">
        <f t="shared" si="35"/>
        <v>0</v>
      </c>
      <c r="J160" s="19">
        <f t="shared" si="35"/>
        <v>0</v>
      </c>
    </row>
    <row r="161" spans="1:10">
      <c r="A161" s="9" t="s">
        <v>612</v>
      </c>
      <c r="B161" s="9"/>
      <c r="C161" s="31">
        <v>16</v>
      </c>
      <c r="D161" s="19">
        <f t="shared" ref="D161:J161" si="36">(((B32)*100)/50)*$C$161*D133</f>
        <v>0</v>
      </c>
      <c r="E161" s="19">
        <f t="shared" si="36"/>
        <v>0</v>
      </c>
      <c r="F161" s="19">
        <f t="shared" si="36"/>
        <v>0</v>
      </c>
      <c r="G161" s="19">
        <f t="shared" si="36"/>
        <v>0</v>
      </c>
      <c r="H161" s="19">
        <f t="shared" si="36"/>
        <v>0</v>
      </c>
      <c r="I161" s="19">
        <f t="shared" si="36"/>
        <v>0</v>
      </c>
      <c r="J161" s="19">
        <f t="shared" si="36"/>
        <v>0</v>
      </c>
    </row>
    <row r="162" spans="1:10">
      <c r="A162" s="9"/>
      <c r="B162" s="9"/>
      <c r="C162" s="9"/>
      <c r="D162" s="9"/>
      <c r="E162" s="9"/>
      <c r="F162" s="9"/>
      <c r="G162" s="9"/>
      <c r="H162" s="9"/>
      <c r="I162" s="9"/>
      <c r="J162" s="9"/>
    </row>
    <row r="163" spans="1:10">
      <c r="A163" s="9"/>
      <c r="B163" s="9"/>
      <c r="C163" s="9"/>
      <c r="D163" s="9"/>
      <c r="E163" s="9"/>
      <c r="F163" s="9"/>
      <c r="G163" s="9"/>
      <c r="H163" s="9"/>
      <c r="I163" s="9"/>
      <c r="J163" s="9"/>
    </row>
    <row r="164" spans="1:10">
      <c r="A164" s="9"/>
      <c r="B164" s="9"/>
      <c r="C164" s="9"/>
      <c r="D164" s="9"/>
      <c r="E164" s="9"/>
      <c r="F164" s="9"/>
      <c r="G164" s="9"/>
      <c r="H164" s="9"/>
      <c r="I164" s="9"/>
      <c r="J164" s="9"/>
    </row>
    <row r="165" spans="1:10">
      <c r="A165" s="9"/>
      <c r="B165" s="9"/>
      <c r="C165" s="9"/>
      <c r="D165" s="9"/>
      <c r="E165" s="9"/>
      <c r="F165" s="9"/>
      <c r="G165" s="9"/>
      <c r="H165" s="9"/>
      <c r="I165" s="9"/>
      <c r="J165" s="9"/>
    </row>
    <row r="166" spans="1:10">
      <c r="A166" s="35" t="s">
        <v>580</v>
      </c>
      <c r="B166" s="19"/>
      <c r="C166" s="19"/>
      <c r="D166" s="19"/>
      <c r="E166" s="19">
        <f>'5.Closing Stock &amp; W Capital'!F8</f>
        <v>0</v>
      </c>
      <c r="F166" s="19">
        <f>'5.Closing Stock &amp; W Capital'!G8</f>
        <v>0</v>
      </c>
      <c r="G166" s="19">
        <f>'5.Closing Stock &amp; W Capital'!H8</f>
        <v>0</v>
      </c>
      <c r="H166" s="19">
        <f>'5.Closing Stock &amp; W Capital'!I8</f>
        <v>0</v>
      </c>
      <c r="I166" s="19">
        <f>'5.Closing Stock &amp; W Capital'!J8</f>
        <v>0</v>
      </c>
      <c r="J166" s="19">
        <f>'5.Closing Stock &amp; W Capital'!K8</f>
        <v>0</v>
      </c>
    </row>
    <row r="167" spans="1:10">
      <c r="A167" s="35" t="s">
        <v>581</v>
      </c>
      <c r="B167" s="19"/>
      <c r="C167" s="19"/>
      <c r="D167" s="19">
        <f>'5.Closing Stock &amp; W Capital'!E17</f>
        <v>0</v>
      </c>
      <c r="E167" s="19">
        <f>'5.Closing Stock &amp; W Capital'!F17</f>
        <v>0</v>
      </c>
      <c r="F167" s="19">
        <f>'5.Closing Stock &amp; W Capital'!G17</f>
        <v>0</v>
      </c>
      <c r="G167" s="19">
        <f>'5.Closing Stock &amp; W Capital'!H17</f>
        <v>0</v>
      </c>
      <c r="H167" s="19">
        <f>'5.Closing Stock &amp; W Capital'!I17</f>
        <v>0</v>
      </c>
      <c r="I167" s="19">
        <f>'5.Closing Stock &amp; W Capital'!J17</f>
        <v>0</v>
      </c>
      <c r="J167" s="19">
        <f>'5.Closing Stock &amp; W Capital'!K17</f>
        <v>0</v>
      </c>
    </row>
    <row r="168" spans="1:10">
      <c r="A168" s="19"/>
      <c r="B168" s="19"/>
      <c r="C168" s="19"/>
      <c r="D168" s="19"/>
      <c r="E168" s="19"/>
      <c r="F168" s="19"/>
      <c r="G168" s="19"/>
      <c r="H168" s="19"/>
      <c r="I168" s="19"/>
      <c r="J168" s="19"/>
    </row>
    <row r="169" spans="1:10">
      <c r="A169" s="18" t="s">
        <v>346</v>
      </c>
      <c r="B169" s="19"/>
      <c r="C169" s="19"/>
      <c r="D169" s="18">
        <f>SUM(D152:D166)-D167</f>
        <v>0</v>
      </c>
      <c r="E169" s="18">
        <f>SUM(E152:E166)-E167</f>
        <v>0</v>
      </c>
      <c r="F169" s="18">
        <f t="shared" ref="F169:J169" si="37">SUM(F152:F166)-F167</f>
        <v>0</v>
      </c>
      <c r="G169" s="18">
        <f t="shared" si="37"/>
        <v>0</v>
      </c>
      <c r="H169" s="18">
        <f t="shared" si="37"/>
        <v>0</v>
      </c>
      <c r="I169" s="18">
        <f t="shared" si="37"/>
        <v>0</v>
      </c>
      <c r="J169" s="18">
        <f t="shared" si="37"/>
        <v>0</v>
      </c>
    </row>
    <row r="171" spans="1:10">
      <c r="A171" s="36" t="s">
        <v>347</v>
      </c>
      <c r="B171" s="36"/>
      <c r="C171" s="36"/>
      <c r="D171" s="18"/>
      <c r="E171" s="18"/>
      <c r="F171" s="18"/>
      <c r="G171" s="18"/>
      <c r="H171" s="18"/>
      <c r="I171" s="18"/>
      <c r="J171" s="18"/>
    </row>
    <row r="172" spans="1:10">
      <c r="A172" s="9" t="s">
        <v>613</v>
      </c>
      <c r="B172" s="31">
        <v>4</v>
      </c>
      <c r="C172" s="32">
        <v>0</v>
      </c>
      <c r="D172" s="19">
        <f t="shared" ref="D172:J172" si="38">$B$172*$C$172*12*D133</f>
        <v>0</v>
      </c>
      <c r="E172" s="19">
        <f t="shared" si="38"/>
        <v>0</v>
      </c>
      <c r="F172" s="19">
        <f t="shared" si="38"/>
        <v>0</v>
      </c>
      <c r="G172" s="19">
        <f t="shared" si="38"/>
        <v>0</v>
      </c>
      <c r="H172" s="19">
        <f t="shared" si="38"/>
        <v>0</v>
      </c>
      <c r="I172" s="19">
        <f t="shared" si="38"/>
        <v>0</v>
      </c>
      <c r="J172" s="19">
        <f t="shared" si="38"/>
        <v>0</v>
      </c>
    </row>
    <row r="173" spans="1:10">
      <c r="A173" s="9"/>
      <c r="B173" s="31"/>
      <c r="C173" s="32"/>
      <c r="D173" s="19"/>
      <c r="E173" s="19"/>
      <c r="F173" s="19"/>
      <c r="G173" s="19"/>
      <c r="H173" s="19"/>
      <c r="I173" s="19"/>
      <c r="J173" s="19"/>
    </row>
    <row r="174" spans="1:10">
      <c r="A174" s="9"/>
      <c r="B174" s="31"/>
      <c r="C174" s="32"/>
      <c r="D174" s="19"/>
      <c r="E174" s="19"/>
      <c r="F174" s="19"/>
      <c r="G174" s="19"/>
      <c r="H174" s="19"/>
      <c r="I174" s="19"/>
      <c r="J174" s="19"/>
    </row>
    <row r="175" spans="1:10">
      <c r="A175" s="9"/>
      <c r="B175" s="31"/>
      <c r="C175" s="32"/>
      <c r="D175" s="19"/>
      <c r="E175" s="19"/>
      <c r="F175" s="19"/>
      <c r="G175" s="19"/>
      <c r="H175" s="19"/>
      <c r="I175" s="19"/>
      <c r="J175" s="19"/>
    </row>
    <row r="176" spans="1:10">
      <c r="A176" s="9"/>
      <c r="B176" s="31"/>
      <c r="C176" s="32"/>
      <c r="D176" s="19"/>
      <c r="E176" s="19"/>
      <c r="F176" s="19"/>
      <c r="G176" s="19"/>
      <c r="H176" s="19"/>
      <c r="I176" s="19"/>
      <c r="J176" s="19"/>
    </row>
    <row r="177" spans="1:10">
      <c r="A177" s="16" t="s">
        <v>347</v>
      </c>
      <c r="B177" s="16"/>
      <c r="C177" s="16"/>
      <c r="D177" s="18">
        <f t="shared" ref="D177:J177" si="39">SUM(D172:D176)</f>
        <v>0</v>
      </c>
      <c r="E177" s="18">
        <f t="shared" si="39"/>
        <v>0</v>
      </c>
      <c r="F177" s="18">
        <f t="shared" si="39"/>
        <v>0</v>
      </c>
      <c r="G177" s="18">
        <f t="shared" si="39"/>
        <v>0</v>
      </c>
      <c r="H177" s="18">
        <f t="shared" si="39"/>
        <v>0</v>
      </c>
      <c r="I177" s="18">
        <f t="shared" si="39"/>
        <v>0</v>
      </c>
      <c r="J177" s="18">
        <f t="shared" si="39"/>
        <v>0</v>
      </c>
    </row>
    <row r="178" spans="1:10">
      <c r="A178" s="36" t="s">
        <v>614</v>
      </c>
      <c r="B178" s="36"/>
      <c r="C178" s="36"/>
      <c r="D178" s="18">
        <f t="shared" ref="D178:J178" si="40">D169+D177</f>
        <v>0</v>
      </c>
      <c r="E178" s="18">
        <f t="shared" si="40"/>
        <v>0</v>
      </c>
      <c r="F178" s="18">
        <f t="shared" si="40"/>
        <v>0</v>
      </c>
      <c r="G178" s="18">
        <f t="shared" si="40"/>
        <v>0</v>
      </c>
      <c r="H178" s="18">
        <f t="shared" si="40"/>
        <v>0</v>
      </c>
      <c r="I178" s="18">
        <f t="shared" si="40"/>
        <v>0</v>
      </c>
      <c r="J178" s="18">
        <f t="shared" si="40"/>
        <v>0</v>
      </c>
    </row>
    <row r="179" spans="1:10">
      <c r="A179" s="9"/>
      <c r="B179" s="9"/>
      <c r="C179" s="9"/>
      <c r="D179" s="19"/>
      <c r="E179" s="19"/>
      <c r="F179" s="19"/>
      <c r="G179" s="19"/>
      <c r="H179" s="19"/>
      <c r="I179" s="19"/>
      <c r="J179" s="19"/>
    </row>
    <row r="180" spans="1:10">
      <c r="A180" s="16" t="s">
        <v>394</v>
      </c>
      <c r="B180" s="16"/>
      <c r="C180" s="16"/>
      <c r="D180" s="18">
        <f t="shared" ref="D180:J180" si="41">D148-D178</f>
        <v>0</v>
      </c>
      <c r="E180" s="18">
        <f t="shared" si="41"/>
        <v>0</v>
      </c>
      <c r="F180" s="18">
        <f t="shared" si="41"/>
        <v>0</v>
      </c>
      <c r="G180" s="18">
        <f t="shared" si="41"/>
        <v>0</v>
      </c>
      <c r="H180" s="18">
        <f t="shared" si="41"/>
        <v>0</v>
      </c>
      <c r="I180" s="18">
        <f t="shared" si="41"/>
        <v>0</v>
      </c>
      <c r="J180" s="18">
        <f t="shared" si="41"/>
        <v>0</v>
      </c>
    </row>
    <row r="181" spans="1:10">
      <c r="A181" s="4"/>
      <c r="B181" s="4"/>
      <c r="C181" s="4"/>
    </row>
    <row r="184" spans="1:10">
      <c r="A184" s="456" t="s">
        <v>615</v>
      </c>
      <c r="B184" s="456"/>
      <c r="C184" s="456"/>
      <c r="D184" s="456"/>
      <c r="E184" s="456"/>
      <c r="F184" s="456"/>
      <c r="G184" s="456"/>
      <c r="H184" s="456"/>
      <c r="I184" s="456"/>
      <c r="J184" s="456"/>
    </row>
    <row r="186" spans="1:10">
      <c r="A186" s="1" t="s">
        <v>308</v>
      </c>
    </row>
    <row r="187" spans="1:10">
      <c r="A187" s="1">
        <v>1</v>
      </c>
      <c r="B187" s="1" t="s">
        <v>587</v>
      </c>
    </row>
    <row r="188" spans="1:10">
      <c r="A188" s="1">
        <v>2</v>
      </c>
      <c r="B188" s="1" t="s">
        <v>588</v>
      </c>
    </row>
    <row r="189" spans="1:10">
      <c r="A189" s="1">
        <v>3</v>
      </c>
      <c r="B189" s="1" t="s">
        <v>589</v>
      </c>
    </row>
  </sheetData>
  <mergeCells count="4">
    <mergeCell ref="A3:H3"/>
    <mergeCell ref="A4:H4"/>
    <mergeCell ref="A131:J131"/>
    <mergeCell ref="A184:J184"/>
  </mergeCells>
  <pageMargins left="0.7" right="0.7" top="0.75" bottom="0.75" header="0.3" footer="0.3"/>
  <pageSetup paperSize="9" scale="53" orientation="portrait" r:id="rId1"/>
  <colBreaks count="1" manualBreakCount="1">
    <brk id="10" max="54" man="1"/>
  </colBreaks>
</worksheet>
</file>

<file path=xl/worksheets/sheet15.xml><?xml version="1.0" encoding="utf-8"?>
<worksheet xmlns="http://schemas.openxmlformats.org/spreadsheetml/2006/main" xmlns:r="http://schemas.openxmlformats.org/officeDocument/2006/relationships">
  <dimension ref="A2:J56"/>
  <sheetViews>
    <sheetView view="pageBreakPreview" topLeftCell="A40" zoomScale="80" workbookViewId="0">
      <selection activeCell="D20" sqref="A1:XFD1048576"/>
    </sheetView>
  </sheetViews>
  <sheetFormatPr defaultColWidth="9" defaultRowHeight="15"/>
  <cols>
    <col min="1" max="1" width="30.42578125" style="1" customWidth="1"/>
    <col min="2" max="2" width="9.85546875" style="1" customWidth="1"/>
    <col min="3" max="3" width="11.140625" style="1" customWidth="1"/>
    <col min="4" max="10" width="9.5703125" style="1" customWidth="1"/>
    <col min="11" max="16384" width="9" style="1"/>
  </cols>
  <sheetData>
    <row r="2" spans="1:10">
      <c r="A2" s="492" t="s">
        <v>616</v>
      </c>
      <c r="B2" s="492"/>
      <c r="C2" s="492"/>
      <c r="D2" s="492"/>
      <c r="E2" s="492"/>
      <c r="F2" s="492"/>
      <c r="G2" s="492"/>
      <c r="H2" s="492"/>
    </row>
    <row r="3" spans="1:10">
      <c r="A3" s="492" t="s">
        <v>617</v>
      </c>
      <c r="B3" s="492"/>
      <c r="C3" s="492"/>
      <c r="D3" s="492"/>
      <c r="E3" s="492"/>
      <c r="F3" s="492"/>
      <c r="G3" s="492"/>
      <c r="H3" s="492"/>
    </row>
    <row r="4" spans="1:10">
      <c r="A4" s="23" t="s">
        <v>124</v>
      </c>
      <c r="B4" s="54"/>
      <c r="C4" s="55" t="s">
        <v>618</v>
      </c>
      <c r="D4" s="55"/>
      <c r="E4" s="55"/>
      <c r="F4" s="55"/>
      <c r="G4" s="21"/>
    </row>
    <row r="5" spans="1:10">
      <c r="A5" s="23"/>
      <c r="B5" s="56"/>
      <c r="C5" s="21"/>
      <c r="D5" s="21"/>
      <c r="E5" s="21"/>
      <c r="F5" s="21"/>
      <c r="G5" s="21"/>
    </row>
    <row r="6" spans="1:10">
      <c r="A6" s="23" t="s">
        <v>619</v>
      </c>
      <c r="B6" s="57">
        <v>12</v>
      </c>
      <c r="C6" s="21"/>
      <c r="D6" s="57"/>
      <c r="E6" s="57"/>
      <c r="F6" s="21"/>
      <c r="G6" s="21"/>
    </row>
    <row r="7" spans="1:10">
      <c r="A7" s="23"/>
      <c r="C7" s="57"/>
      <c r="D7" s="57"/>
      <c r="E7" s="57"/>
      <c r="F7" s="21"/>
      <c r="G7" s="21"/>
    </row>
    <row r="8" spans="1:10">
      <c r="A8" s="28" t="s">
        <v>80</v>
      </c>
      <c r="B8" s="29" t="s">
        <v>148</v>
      </c>
      <c r="C8" s="29" t="s">
        <v>149</v>
      </c>
      <c r="D8" s="29" t="s">
        <v>150</v>
      </c>
      <c r="E8" s="29" t="s">
        <v>151</v>
      </c>
      <c r="F8" s="29" t="s">
        <v>152</v>
      </c>
      <c r="G8" s="29" t="s">
        <v>153</v>
      </c>
      <c r="H8" s="29" t="s">
        <v>154</v>
      </c>
    </row>
    <row r="9" spans="1:10">
      <c r="A9" s="9" t="s">
        <v>620</v>
      </c>
      <c r="B9" s="13">
        <v>0.8</v>
      </c>
      <c r="C9" s="13">
        <f>B9+5%</f>
        <v>0.85000000000000009</v>
      </c>
      <c r="D9" s="13">
        <f>C9+5%</f>
        <v>0.90000000000000013</v>
      </c>
      <c r="E9" s="13">
        <f>D9+5%</f>
        <v>0.95000000000000018</v>
      </c>
      <c r="F9" s="13">
        <f>E9+5%</f>
        <v>1.0000000000000002</v>
      </c>
      <c r="G9" s="13">
        <f>F9</f>
        <v>1.0000000000000002</v>
      </c>
      <c r="H9" s="13">
        <f>G9</f>
        <v>1.0000000000000002</v>
      </c>
    </row>
    <row r="10" spans="1:10">
      <c r="A10" s="16" t="s">
        <v>621</v>
      </c>
      <c r="B10" s="20">
        <f t="shared" ref="B10:H10" si="0">$B$4*B9*$B$6</f>
        <v>0</v>
      </c>
      <c r="C10" s="20">
        <f t="shared" si="0"/>
        <v>0</v>
      </c>
      <c r="D10" s="20">
        <f t="shared" si="0"/>
        <v>0</v>
      </c>
      <c r="E10" s="20">
        <f t="shared" si="0"/>
        <v>0</v>
      </c>
      <c r="F10" s="20">
        <f t="shared" si="0"/>
        <v>0</v>
      </c>
      <c r="G10" s="20">
        <f t="shared" si="0"/>
        <v>0</v>
      </c>
      <c r="H10" s="20">
        <f t="shared" si="0"/>
        <v>0</v>
      </c>
    </row>
    <row r="15" spans="1:10">
      <c r="A15" s="456" t="s">
        <v>622</v>
      </c>
      <c r="B15" s="456"/>
      <c r="C15" s="456"/>
      <c r="D15" s="456"/>
      <c r="E15" s="456"/>
      <c r="F15" s="456"/>
      <c r="G15" s="456"/>
      <c r="H15" s="456"/>
      <c r="I15" s="456"/>
      <c r="J15" s="456"/>
    </row>
    <row r="16" spans="1:10">
      <c r="A16" s="25"/>
      <c r="B16" s="25"/>
      <c r="C16" s="25"/>
      <c r="D16" s="25"/>
      <c r="E16" s="25"/>
      <c r="F16" s="25"/>
      <c r="G16" s="25"/>
      <c r="H16" s="25"/>
    </row>
    <row r="17" spans="1:10">
      <c r="D17" s="41">
        <v>1</v>
      </c>
      <c r="E17" s="48">
        <f>(D17*5%)+D17</f>
        <v>1.05</v>
      </c>
      <c r="F17" s="48">
        <f t="shared" ref="F17:J17" si="1">(E17*5%)+E17</f>
        <v>1.1025</v>
      </c>
      <c r="G17" s="48">
        <f t="shared" si="1"/>
        <v>1.1576250000000001</v>
      </c>
      <c r="H17" s="48">
        <f t="shared" si="1"/>
        <v>1.2155062500000002</v>
      </c>
      <c r="I17" s="48">
        <f t="shared" si="1"/>
        <v>1.2762815625000004</v>
      </c>
      <c r="J17" s="48">
        <f t="shared" si="1"/>
        <v>1.3400956406250004</v>
      </c>
    </row>
    <row r="18" spans="1:10">
      <c r="A18" s="28" t="s">
        <v>145</v>
      </c>
      <c r="B18" s="28" t="s">
        <v>115</v>
      </c>
      <c r="C18" s="28" t="s">
        <v>126</v>
      </c>
      <c r="D18" s="29" t="s">
        <v>148</v>
      </c>
      <c r="E18" s="29" t="s">
        <v>149</v>
      </c>
      <c r="F18" s="29" t="s">
        <v>150</v>
      </c>
      <c r="G18" s="29" t="s">
        <v>151</v>
      </c>
      <c r="H18" s="29" t="s">
        <v>152</v>
      </c>
      <c r="I18" s="29" t="s">
        <v>153</v>
      </c>
      <c r="J18" s="29" t="s">
        <v>154</v>
      </c>
    </row>
    <row r="19" spans="1:10">
      <c r="A19" s="9"/>
      <c r="B19" s="9"/>
      <c r="C19" s="9"/>
      <c r="D19" s="9"/>
      <c r="E19" s="9"/>
      <c r="F19" s="9"/>
      <c r="G19" s="9"/>
      <c r="H19" s="9"/>
      <c r="I19" s="9"/>
      <c r="J19" s="9"/>
    </row>
    <row r="20" spans="1:10">
      <c r="A20" s="16" t="s">
        <v>623</v>
      </c>
      <c r="B20" s="16"/>
      <c r="C20" s="16"/>
      <c r="D20" s="9"/>
      <c r="E20" s="9"/>
      <c r="F20" s="9"/>
      <c r="G20" s="9"/>
      <c r="H20" s="9"/>
      <c r="I20" s="9"/>
      <c r="J20" s="9"/>
    </row>
    <row r="21" spans="1:10">
      <c r="A21" s="9" t="s">
        <v>624</v>
      </c>
      <c r="B21" s="9"/>
      <c r="C21" s="32">
        <v>100</v>
      </c>
      <c r="D21" s="19">
        <f t="shared" ref="D21:J21" si="2">B10*$C$21*D17</f>
        <v>0</v>
      </c>
      <c r="E21" s="19">
        <f t="shared" si="2"/>
        <v>0</v>
      </c>
      <c r="F21" s="19">
        <f t="shared" si="2"/>
        <v>0</v>
      </c>
      <c r="G21" s="19">
        <f t="shared" si="2"/>
        <v>0</v>
      </c>
      <c r="H21" s="19">
        <f t="shared" si="2"/>
        <v>0</v>
      </c>
      <c r="I21" s="19">
        <f t="shared" si="2"/>
        <v>0</v>
      </c>
      <c r="J21" s="19">
        <f t="shared" si="2"/>
        <v>0</v>
      </c>
    </row>
    <row r="22" spans="1:10">
      <c r="A22" s="9"/>
      <c r="B22" s="9"/>
      <c r="C22" s="19"/>
      <c r="D22" s="19"/>
      <c r="E22" s="19"/>
      <c r="F22" s="19"/>
      <c r="G22" s="19"/>
      <c r="H22" s="19"/>
      <c r="I22" s="19"/>
      <c r="J22" s="19"/>
    </row>
    <row r="23" spans="1:10">
      <c r="A23" s="16" t="s">
        <v>344</v>
      </c>
      <c r="B23" s="16"/>
      <c r="C23" s="18"/>
      <c r="D23" s="19">
        <f t="shared" ref="D23:J23" si="3">SUM(D21:D21)</f>
        <v>0</v>
      </c>
      <c r="E23" s="19">
        <f t="shared" si="3"/>
        <v>0</v>
      </c>
      <c r="F23" s="19">
        <f t="shared" si="3"/>
        <v>0</v>
      </c>
      <c r="G23" s="19">
        <f t="shared" si="3"/>
        <v>0</v>
      </c>
      <c r="H23" s="19">
        <f t="shared" si="3"/>
        <v>0</v>
      </c>
      <c r="I23" s="19">
        <f t="shared" si="3"/>
        <v>0</v>
      </c>
      <c r="J23" s="19">
        <f t="shared" si="3"/>
        <v>0</v>
      </c>
    </row>
    <row r="24" spans="1:10">
      <c r="A24" s="9"/>
      <c r="B24" s="9"/>
      <c r="C24" s="19"/>
      <c r="D24" s="19"/>
      <c r="E24" s="19"/>
      <c r="F24" s="19"/>
      <c r="G24" s="19"/>
      <c r="H24" s="19"/>
      <c r="I24" s="19"/>
      <c r="J24" s="19"/>
    </row>
    <row r="25" spans="1:10">
      <c r="A25" s="16" t="s">
        <v>576</v>
      </c>
      <c r="B25" s="16"/>
      <c r="C25" s="19"/>
      <c r="D25" s="19"/>
      <c r="E25" s="19"/>
      <c r="F25" s="19"/>
      <c r="G25" s="19"/>
      <c r="H25" s="19"/>
      <c r="I25" s="19"/>
      <c r="J25" s="19"/>
    </row>
    <row r="26" spans="1:10">
      <c r="A26" s="16" t="s">
        <v>345</v>
      </c>
      <c r="B26" s="16"/>
      <c r="C26" s="19"/>
      <c r="D26" s="19"/>
      <c r="E26" s="19"/>
      <c r="F26" s="19"/>
      <c r="G26" s="19"/>
      <c r="H26" s="19"/>
      <c r="I26" s="19"/>
      <c r="J26" s="19"/>
    </row>
    <row r="27" spans="1:10">
      <c r="A27" s="9" t="s">
        <v>625</v>
      </c>
      <c r="B27" s="31" t="s">
        <v>618</v>
      </c>
      <c r="C27" s="32">
        <v>15</v>
      </c>
      <c r="D27" s="19">
        <f t="shared" ref="D27:J27" si="4">$B$4*$C$27*D17*4</f>
        <v>0</v>
      </c>
      <c r="E27" s="19">
        <f t="shared" si="4"/>
        <v>0</v>
      </c>
      <c r="F27" s="19">
        <f t="shared" si="4"/>
        <v>0</v>
      </c>
      <c r="G27" s="19">
        <f t="shared" si="4"/>
        <v>0</v>
      </c>
      <c r="H27" s="19">
        <f t="shared" si="4"/>
        <v>0</v>
      </c>
      <c r="I27" s="19">
        <f t="shared" si="4"/>
        <v>0</v>
      </c>
      <c r="J27" s="19">
        <f t="shared" si="4"/>
        <v>0</v>
      </c>
    </row>
    <row r="28" spans="1:10">
      <c r="A28" s="9" t="s">
        <v>626</v>
      </c>
      <c r="B28" s="31" t="s">
        <v>618</v>
      </c>
      <c r="C28" s="32">
        <v>14</v>
      </c>
      <c r="D28" s="19">
        <f t="shared" ref="D28:J28" si="5">$B$4*$C$28*D17*12</f>
        <v>0</v>
      </c>
      <c r="E28" s="19">
        <f t="shared" si="5"/>
        <v>0</v>
      </c>
      <c r="F28" s="19">
        <f t="shared" si="5"/>
        <v>0</v>
      </c>
      <c r="G28" s="19">
        <f t="shared" si="5"/>
        <v>0</v>
      </c>
      <c r="H28" s="19">
        <f t="shared" si="5"/>
        <v>0</v>
      </c>
      <c r="I28" s="19">
        <f t="shared" si="5"/>
        <v>0</v>
      </c>
      <c r="J28" s="19">
        <f t="shared" si="5"/>
        <v>0</v>
      </c>
    </row>
    <row r="29" spans="1:10">
      <c r="A29" s="9" t="s">
        <v>627</v>
      </c>
      <c r="B29" s="31"/>
      <c r="C29" s="32">
        <f>B4*10</f>
        <v>0</v>
      </c>
      <c r="D29" s="19">
        <f>$C$29*12*D17</f>
        <v>0</v>
      </c>
      <c r="E29" s="19">
        <f t="shared" ref="E29:J29" si="6">$C$29*12*E17</f>
        <v>0</v>
      </c>
      <c r="F29" s="19">
        <f t="shared" si="6"/>
        <v>0</v>
      </c>
      <c r="G29" s="19">
        <f t="shared" si="6"/>
        <v>0</v>
      </c>
      <c r="H29" s="19">
        <f t="shared" si="6"/>
        <v>0</v>
      </c>
      <c r="I29" s="19">
        <f t="shared" si="6"/>
        <v>0</v>
      </c>
      <c r="J29" s="19">
        <f t="shared" si="6"/>
        <v>0</v>
      </c>
    </row>
    <row r="30" spans="1:10">
      <c r="A30" s="9"/>
      <c r="B30" s="31"/>
      <c r="C30" s="32"/>
      <c r="D30" s="19"/>
      <c r="E30" s="19"/>
      <c r="F30" s="19"/>
      <c r="G30" s="19"/>
      <c r="H30" s="19"/>
      <c r="I30" s="19"/>
      <c r="J30" s="19"/>
    </row>
    <row r="31" spans="1:10">
      <c r="A31" s="9"/>
      <c r="B31" s="31"/>
      <c r="C31" s="32"/>
      <c r="D31" s="19"/>
      <c r="E31" s="19"/>
      <c r="F31" s="19"/>
      <c r="G31" s="19"/>
      <c r="H31" s="19"/>
      <c r="I31" s="19"/>
      <c r="J31" s="19"/>
    </row>
    <row r="32" spans="1:10">
      <c r="A32" s="9"/>
      <c r="B32" s="31"/>
      <c r="C32" s="32"/>
      <c r="D32" s="19"/>
      <c r="E32" s="19"/>
      <c r="F32" s="19"/>
      <c r="G32" s="19"/>
      <c r="H32" s="19"/>
      <c r="I32" s="19"/>
      <c r="J32" s="19"/>
    </row>
    <row r="33" spans="1:10">
      <c r="A33" s="9"/>
      <c r="B33" s="31"/>
      <c r="C33" s="32"/>
      <c r="D33" s="19"/>
      <c r="E33" s="19"/>
      <c r="F33" s="19"/>
      <c r="G33" s="19"/>
      <c r="H33" s="19"/>
      <c r="I33" s="19"/>
      <c r="J33" s="19"/>
    </row>
    <row r="34" spans="1:10">
      <c r="A34" s="16" t="s">
        <v>346</v>
      </c>
      <c r="B34" s="50"/>
      <c r="C34" s="17"/>
      <c r="D34" s="18">
        <f>SUM(D27:D33)</f>
        <v>0</v>
      </c>
      <c r="E34" s="18">
        <f t="shared" ref="E34:J34" si="7">SUM(E27:E33)</f>
        <v>0</v>
      </c>
      <c r="F34" s="18">
        <f t="shared" si="7"/>
        <v>0</v>
      </c>
      <c r="G34" s="18">
        <f t="shared" si="7"/>
        <v>0</v>
      </c>
      <c r="H34" s="18">
        <f t="shared" si="7"/>
        <v>0</v>
      </c>
      <c r="I34" s="18">
        <f t="shared" si="7"/>
        <v>0</v>
      </c>
      <c r="J34" s="18">
        <f t="shared" si="7"/>
        <v>0</v>
      </c>
    </row>
    <row r="35" spans="1:10">
      <c r="A35" s="16"/>
      <c r="B35" s="50"/>
      <c r="C35" s="17"/>
      <c r="D35" s="18"/>
      <c r="E35" s="18"/>
      <c r="F35" s="18"/>
      <c r="G35" s="18"/>
      <c r="H35" s="18"/>
      <c r="I35" s="18"/>
      <c r="J35" s="18"/>
    </row>
    <row r="36" spans="1:10">
      <c r="A36" s="16" t="s">
        <v>347</v>
      </c>
      <c r="B36" s="31"/>
      <c r="C36" s="32"/>
      <c r="D36" s="19"/>
      <c r="E36" s="19"/>
      <c r="F36" s="19"/>
      <c r="G36" s="19"/>
      <c r="H36" s="19"/>
      <c r="I36" s="19"/>
      <c r="J36" s="19"/>
    </row>
    <row r="37" spans="1:10">
      <c r="A37" s="9" t="s">
        <v>628</v>
      </c>
      <c r="B37" s="31">
        <v>1</v>
      </c>
      <c r="C37" s="32"/>
      <c r="D37" s="19">
        <f>$B$37*$C$37*D17*12</f>
        <v>0</v>
      </c>
      <c r="E37" s="19">
        <f t="shared" ref="E37:J37" si="8">$B$37*$C$37*E17*12</f>
        <v>0</v>
      </c>
      <c r="F37" s="19">
        <f t="shared" si="8"/>
        <v>0</v>
      </c>
      <c r="G37" s="19">
        <f t="shared" si="8"/>
        <v>0</v>
      </c>
      <c r="H37" s="19">
        <f t="shared" si="8"/>
        <v>0</v>
      </c>
      <c r="I37" s="19">
        <f t="shared" si="8"/>
        <v>0</v>
      </c>
      <c r="J37" s="19">
        <f t="shared" si="8"/>
        <v>0</v>
      </c>
    </row>
    <row r="38" spans="1:10">
      <c r="A38" s="9"/>
      <c r="B38" s="31"/>
      <c r="C38" s="32"/>
      <c r="D38" s="19"/>
      <c r="E38" s="19"/>
      <c r="F38" s="19"/>
      <c r="G38" s="19"/>
      <c r="H38" s="19"/>
      <c r="I38" s="19"/>
      <c r="J38" s="19"/>
    </row>
    <row r="39" spans="1:10">
      <c r="A39" s="9"/>
      <c r="B39" s="31"/>
      <c r="C39" s="32"/>
      <c r="D39" s="19"/>
      <c r="E39" s="19"/>
      <c r="F39" s="19"/>
      <c r="G39" s="19"/>
      <c r="H39" s="19"/>
      <c r="I39" s="19"/>
      <c r="J39" s="19"/>
    </row>
    <row r="40" spans="1:10">
      <c r="A40" s="9"/>
      <c r="B40" s="31"/>
      <c r="C40" s="32"/>
      <c r="D40" s="19"/>
      <c r="E40" s="19"/>
      <c r="F40" s="19"/>
      <c r="G40" s="19"/>
      <c r="H40" s="19"/>
      <c r="I40" s="19"/>
      <c r="J40" s="19"/>
    </row>
    <row r="41" spans="1:10">
      <c r="A41" s="9"/>
      <c r="B41" s="31"/>
      <c r="C41" s="32"/>
      <c r="D41" s="19"/>
      <c r="E41" s="19"/>
      <c r="F41" s="19"/>
      <c r="G41" s="19"/>
      <c r="H41" s="19"/>
      <c r="I41" s="19"/>
      <c r="J41" s="19"/>
    </row>
    <row r="42" spans="1:10">
      <c r="A42" s="9"/>
      <c r="B42" s="31"/>
      <c r="C42" s="32"/>
      <c r="D42" s="19"/>
      <c r="E42" s="19"/>
      <c r="F42" s="19"/>
      <c r="G42" s="19"/>
      <c r="H42" s="19"/>
      <c r="I42" s="19"/>
      <c r="J42" s="19"/>
    </row>
    <row r="43" spans="1:10">
      <c r="A43" s="16" t="s">
        <v>349</v>
      </c>
      <c r="B43" s="16"/>
      <c r="C43" s="18"/>
      <c r="D43" s="18">
        <f>SUM(D37:D42)</f>
        <v>0</v>
      </c>
      <c r="E43" s="18">
        <f t="shared" ref="E43:J43" si="9">SUM(E37:E42)</f>
        <v>0</v>
      </c>
      <c r="F43" s="18">
        <f t="shared" si="9"/>
        <v>0</v>
      </c>
      <c r="G43" s="18">
        <f t="shared" si="9"/>
        <v>0</v>
      </c>
      <c r="H43" s="18">
        <f t="shared" si="9"/>
        <v>0</v>
      </c>
      <c r="I43" s="18">
        <f t="shared" si="9"/>
        <v>0</v>
      </c>
      <c r="J43" s="18">
        <f t="shared" si="9"/>
        <v>0</v>
      </c>
    </row>
    <row r="44" spans="1:10">
      <c r="A44" s="16"/>
      <c r="B44" s="16"/>
      <c r="C44" s="18"/>
      <c r="D44" s="18"/>
      <c r="E44" s="18"/>
      <c r="F44" s="18"/>
      <c r="G44" s="18"/>
      <c r="H44" s="18"/>
      <c r="I44" s="18"/>
      <c r="J44" s="18"/>
    </row>
    <row r="45" spans="1:10">
      <c r="A45" s="16" t="s">
        <v>583</v>
      </c>
      <c r="B45" s="16"/>
      <c r="C45" s="18"/>
      <c r="D45" s="18">
        <f>D34+D43</f>
        <v>0</v>
      </c>
      <c r="E45" s="18">
        <f t="shared" ref="E45:J45" si="10">E34+E43</f>
        <v>0</v>
      </c>
      <c r="F45" s="18">
        <f t="shared" si="10"/>
        <v>0</v>
      </c>
      <c r="G45" s="18">
        <f t="shared" si="10"/>
        <v>0</v>
      </c>
      <c r="H45" s="18">
        <f t="shared" si="10"/>
        <v>0</v>
      </c>
      <c r="I45" s="18">
        <f t="shared" si="10"/>
        <v>0</v>
      </c>
      <c r="J45" s="18">
        <f t="shared" si="10"/>
        <v>0</v>
      </c>
    </row>
    <row r="46" spans="1:10">
      <c r="A46" s="9"/>
      <c r="B46" s="9"/>
      <c r="C46" s="19"/>
      <c r="D46" s="19"/>
      <c r="E46" s="19"/>
      <c r="F46" s="19"/>
      <c r="G46" s="19"/>
      <c r="H46" s="19"/>
      <c r="I46" s="19"/>
      <c r="J46" s="19"/>
    </row>
    <row r="47" spans="1:10">
      <c r="A47" s="16" t="s">
        <v>629</v>
      </c>
      <c r="B47" s="16"/>
      <c r="C47" s="18"/>
      <c r="D47" s="18">
        <f t="shared" ref="D47:J47" si="11">D23-D45</f>
        <v>0</v>
      </c>
      <c r="E47" s="18">
        <f t="shared" si="11"/>
        <v>0</v>
      </c>
      <c r="F47" s="18">
        <f t="shared" si="11"/>
        <v>0</v>
      </c>
      <c r="G47" s="18">
        <f t="shared" si="11"/>
        <v>0</v>
      </c>
      <c r="H47" s="18">
        <f t="shared" si="11"/>
        <v>0</v>
      </c>
      <c r="I47" s="18">
        <f t="shared" si="11"/>
        <v>0</v>
      </c>
      <c r="J47" s="18">
        <f t="shared" si="11"/>
        <v>0</v>
      </c>
    </row>
    <row r="51" spans="1:10">
      <c r="A51" s="456" t="s">
        <v>615</v>
      </c>
      <c r="B51" s="456"/>
      <c r="C51" s="456"/>
      <c r="D51" s="456"/>
      <c r="E51" s="456"/>
      <c r="F51" s="456"/>
      <c r="G51" s="456"/>
      <c r="H51" s="456"/>
      <c r="I51" s="456"/>
      <c r="J51" s="456"/>
    </row>
    <row r="53" spans="1:10">
      <c r="A53" s="1" t="s">
        <v>308</v>
      </c>
    </row>
    <row r="54" spans="1:10">
      <c r="A54" s="1">
        <v>1</v>
      </c>
      <c r="B54" s="1" t="s">
        <v>587</v>
      </c>
    </row>
    <row r="55" spans="1:10">
      <c r="A55" s="1">
        <v>2</v>
      </c>
      <c r="B55" s="1" t="s">
        <v>588</v>
      </c>
    </row>
    <row r="56" spans="1:10">
      <c r="A56" s="1">
        <v>3</v>
      </c>
      <c r="B56" s="1" t="s">
        <v>589</v>
      </c>
    </row>
  </sheetData>
  <mergeCells count="4">
    <mergeCell ref="A2:H2"/>
    <mergeCell ref="A3:H3"/>
    <mergeCell ref="A15:J15"/>
    <mergeCell ref="A51:J51"/>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dimension ref="A3:M68"/>
  <sheetViews>
    <sheetView view="pageBreakPreview" topLeftCell="A38" zoomScale="80" workbookViewId="0">
      <selection activeCell="D20" sqref="A1:XFD1048576"/>
    </sheetView>
  </sheetViews>
  <sheetFormatPr defaultColWidth="9" defaultRowHeight="15"/>
  <cols>
    <col min="1" max="2" width="29.42578125" style="1" customWidth="1"/>
    <col min="3" max="3" width="12.140625" style="1" customWidth="1"/>
    <col min="4" max="4" width="10.42578125" style="1" customWidth="1"/>
    <col min="5" max="5" width="13.42578125" style="1" customWidth="1"/>
    <col min="6" max="6" width="14" style="1" customWidth="1"/>
    <col min="7" max="7" width="13.42578125" style="1" customWidth="1"/>
    <col min="8" max="9" width="14" style="1" customWidth="1"/>
    <col min="10" max="11" width="14.42578125" style="1" customWidth="1"/>
    <col min="12" max="12" width="12.140625" style="1" customWidth="1"/>
    <col min="13" max="13" width="16" style="1" customWidth="1"/>
    <col min="14" max="14" width="23.28515625" style="1" customWidth="1"/>
    <col min="15" max="17" width="9" style="1"/>
    <col min="18" max="18" width="12.7109375" style="1" customWidth="1"/>
    <col min="19" max="16384" width="9" style="1"/>
  </cols>
  <sheetData>
    <row r="3" spans="1:13">
      <c r="A3" s="456" t="s">
        <v>630</v>
      </c>
      <c r="B3" s="456"/>
      <c r="C3" s="456"/>
      <c r="D3" s="456"/>
      <c r="E3" s="456"/>
      <c r="F3" s="456"/>
      <c r="G3" s="456"/>
      <c r="H3" s="456"/>
      <c r="I3" s="456"/>
      <c r="J3" s="456"/>
      <c r="K3" s="456"/>
      <c r="L3" s="456"/>
    </row>
    <row r="4" spans="1:13">
      <c r="A4" s="456" t="s">
        <v>631</v>
      </c>
      <c r="B4" s="456"/>
      <c r="C4" s="456"/>
      <c r="D4" s="456"/>
      <c r="E4" s="456"/>
      <c r="F4" s="456"/>
      <c r="G4" s="456"/>
      <c r="H4" s="456"/>
      <c r="I4" s="456"/>
      <c r="J4" s="456"/>
      <c r="K4" s="456"/>
      <c r="L4" s="456"/>
    </row>
    <row r="7" spans="1:13" ht="60">
      <c r="A7" s="7" t="s">
        <v>79</v>
      </c>
      <c r="B7" s="44" t="s">
        <v>632</v>
      </c>
      <c r="C7" s="44" t="s">
        <v>633</v>
      </c>
      <c r="D7" s="44" t="s">
        <v>634</v>
      </c>
      <c r="E7" s="44" t="s">
        <v>635</v>
      </c>
      <c r="F7" s="44" t="s">
        <v>636</v>
      </c>
      <c r="G7" s="44" t="s">
        <v>637</v>
      </c>
      <c r="H7" s="44" t="s">
        <v>638</v>
      </c>
      <c r="I7" s="44" t="s">
        <v>639</v>
      </c>
      <c r="J7" s="45" t="s">
        <v>640</v>
      </c>
      <c r="K7" s="44" t="s">
        <v>641</v>
      </c>
      <c r="L7" s="45" t="s">
        <v>642</v>
      </c>
      <c r="M7" s="44" t="s">
        <v>643</v>
      </c>
    </row>
    <row r="8" spans="1:13">
      <c r="A8" s="46">
        <v>1</v>
      </c>
      <c r="B8" s="31" t="s">
        <v>644</v>
      </c>
      <c r="C8" s="31"/>
      <c r="D8" s="31"/>
      <c r="E8" s="31">
        <v>6</v>
      </c>
      <c r="F8" s="14">
        <f>D8*E8*C8</f>
        <v>0</v>
      </c>
      <c r="G8" s="31">
        <v>4</v>
      </c>
      <c r="H8" s="14">
        <f>F8/G8</f>
        <v>0</v>
      </c>
      <c r="I8" s="31">
        <v>12</v>
      </c>
      <c r="J8" s="14">
        <f>H8*I8</f>
        <v>0</v>
      </c>
      <c r="K8" s="31">
        <v>3000</v>
      </c>
      <c r="L8" s="31">
        <v>1</v>
      </c>
      <c r="M8" s="14">
        <f t="shared" ref="M8:M17" si="0">D8*L8</f>
        <v>0</v>
      </c>
    </row>
    <row r="9" spans="1:13">
      <c r="A9" s="46">
        <v>2</v>
      </c>
      <c r="B9" s="31" t="s">
        <v>645</v>
      </c>
      <c r="C9" s="31"/>
      <c r="D9" s="31"/>
      <c r="E9" s="31">
        <v>6</v>
      </c>
      <c r="F9" s="14">
        <f t="shared" ref="F9:F17" si="1">D9*E9*C9</f>
        <v>0</v>
      </c>
      <c r="G9" s="31">
        <v>2</v>
      </c>
      <c r="H9" s="14">
        <f>F9/G9</f>
        <v>0</v>
      </c>
      <c r="I9" s="31">
        <v>8</v>
      </c>
      <c r="J9" s="14">
        <f t="shared" ref="J9:J17" si="2">H9*I9</f>
        <v>0</v>
      </c>
      <c r="K9" s="31">
        <v>1800</v>
      </c>
      <c r="L9" s="31">
        <v>1</v>
      </c>
      <c r="M9" s="14">
        <f t="shared" si="0"/>
        <v>0</v>
      </c>
    </row>
    <row r="10" spans="1:13">
      <c r="A10" s="46">
        <v>3</v>
      </c>
      <c r="B10" s="31" t="s">
        <v>646</v>
      </c>
      <c r="C10" s="31"/>
      <c r="D10" s="31"/>
      <c r="E10" s="31">
        <v>6</v>
      </c>
      <c r="F10" s="14">
        <f t="shared" si="1"/>
        <v>0</v>
      </c>
      <c r="G10" s="31">
        <v>2</v>
      </c>
      <c r="H10" s="14">
        <f>F10/G10</f>
        <v>0</v>
      </c>
      <c r="I10" s="31">
        <v>8</v>
      </c>
      <c r="J10" s="14">
        <f t="shared" si="2"/>
        <v>0</v>
      </c>
      <c r="K10" s="31">
        <v>1800</v>
      </c>
      <c r="L10" s="31">
        <v>1</v>
      </c>
      <c r="M10" s="14">
        <f t="shared" si="0"/>
        <v>0</v>
      </c>
    </row>
    <row r="11" spans="1:13">
      <c r="A11" s="46">
        <v>4</v>
      </c>
      <c r="B11" s="31" t="s">
        <v>647</v>
      </c>
      <c r="C11" s="31"/>
      <c r="D11" s="31"/>
      <c r="E11" s="31">
        <v>6</v>
      </c>
      <c r="F11" s="14">
        <f t="shared" si="1"/>
        <v>0</v>
      </c>
      <c r="G11" s="31">
        <v>2</v>
      </c>
      <c r="H11" s="14">
        <f>F11/G11</f>
        <v>0</v>
      </c>
      <c r="I11" s="31">
        <v>4</v>
      </c>
      <c r="J11" s="14">
        <f t="shared" si="2"/>
        <v>0</v>
      </c>
      <c r="K11" s="31">
        <v>1200</v>
      </c>
      <c r="L11" s="31">
        <v>1</v>
      </c>
      <c r="M11" s="14">
        <f t="shared" si="0"/>
        <v>0</v>
      </c>
    </row>
    <row r="12" spans="1:13">
      <c r="A12" s="46">
        <v>5</v>
      </c>
      <c r="B12" s="31" t="s">
        <v>648</v>
      </c>
      <c r="C12" s="31"/>
      <c r="D12" s="31"/>
      <c r="E12" s="31">
        <v>6</v>
      </c>
      <c r="F12" s="14">
        <f t="shared" si="1"/>
        <v>0</v>
      </c>
      <c r="G12" s="31">
        <v>2</v>
      </c>
      <c r="H12" s="14">
        <f>F12/G12</f>
        <v>0</v>
      </c>
      <c r="I12" s="31">
        <v>10</v>
      </c>
      <c r="J12" s="14">
        <f t="shared" si="2"/>
        <v>0</v>
      </c>
      <c r="K12" s="31">
        <v>3000</v>
      </c>
      <c r="L12" s="31">
        <v>1</v>
      </c>
      <c r="M12" s="14">
        <f t="shared" si="0"/>
        <v>0</v>
      </c>
    </row>
    <row r="13" spans="1:13">
      <c r="A13" s="46">
        <v>6</v>
      </c>
      <c r="B13" s="9"/>
      <c r="C13" s="9"/>
      <c r="D13" s="9"/>
      <c r="E13" s="9"/>
      <c r="F13" s="14">
        <f t="shared" si="1"/>
        <v>0</v>
      </c>
      <c r="G13" s="9">
        <v>0</v>
      </c>
      <c r="H13" s="31"/>
      <c r="I13" s="9"/>
      <c r="J13" s="14">
        <f t="shared" si="2"/>
        <v>0</v>
      </c>
      <c r="K13" s="9"/>
      <c r="L13" s="14"/>
      <c r="M13" s="14">
        <f t="shared" si="0"/>
        <v>0</v>
      </c>
    </row>
    <row r="14" spans="1:13">
      <c r="A14" s="46">
        <v>7</v>
      </c>
      <c r="B14" s="9"/>
      <c r="C14" s="9"/>
      <c r="D14" s="9"/>
      <c r="E14" s="9"/>
      <c r="F14" s="14">
        <f t="shared" si="1"/>
        <v>0</v>
      </c>
      <c r="G14" s="9">
        <v>0</v>
      </c>
      <c r="H14" s="31"/>
      <c r="I14" s="9"/>
      <c r="J14" s="14">
        <f t="shared" si="2"/>
        <v>0</v>
      </c>
      <c r="K14" s="9"/>
      <c r="L14" s="14"/>
      <c r="M14" s="14">
        <f t="shared" si="0"/>
        <v>0</v>
      </c>
    </row>
    <row r="15" spans="1:13">
      <c r="A15" s="46">
        <v>8</v>
      </c>
      <c r="B15" s="9"/>
      <c r="C15" s="9"/>
      <c r="D15" s="9"/>
      <c r="E15" s="9"/>
      <c r="F15" s="14">
        <f t="shared" si="1"/>
        <v>0</v>
      </c>
      <c r="G15" s="9">
        <v>0</v>
      </c>
      <c r="H15" s="31"/>
      <c r="I15" s="9"/>
      <c r="J15" s="14">
        <f t="shared" si="2"/>
        <v>0</v>
      </c>
      <c r="K15" s="9"/>
      <c r="L15" s="14"/>
      <c r="M15" s="14">
        <f t="shared" si="0"/>
        <v>0</v>
      </c>
    </row>
    <row r="16" spans="1:13">
      <c r="A16" s="46">
        <v>9</v>
      </c>
      <c r="B16" s="9"/>
      <c r="C16" s="9"/>
      <c r="D16" s="9"/>
      <c r="E16" s="9"/>
      <c r="F16" s="14">
        <f t="shared" si="1"/>
        <v>0</v>
      </c>
      <c r="G16" s="9">
        <v>0</v>
      </c>
      <c r="H16" s="31"/>
      <c r="I16" s="9"/>
      <c r="J16" s="14">
        <f t="shared" si="2"/>
        <v>0</v>
      </c>
      <c r="K16" s="9"/>
      <c r="L16" s="14"/>
      <c r="M16" s="14">
        <f t="shared" si="0"/>
        <v>0</v>
      </c>
    </row>
    <row r="17" spans="1:13">
      <c r="A17" s="46">
        <v>10</v>
      </c>
      <c r="B17" s="9"/>
      <c r="C17" s="9"/>
      <c r="D17" s="9"/>
      <c r="E17" s="9"/>
      <c r="F17" s="14">
        <f t="shared" si="1"/>
        <v>0</v>
      </c>
      <c r="G17" s="9">
        <v>0</v>
      </c>
      <c r="H17" s="31"/>
      <c r="I17" s="9"/>
      <c r="J17" s="14">
        <f t="shared" si="2"/>
        <v>0</v>
      </c>
      <c r="K17" s="9"/>
      <c r="L17" s="14"/>
      <c r="M17" s="14">
        <f t="shared" si="0"/>
        <v>0</v>
      </c>
    </row>
    <row r="18" spans="1:13">
      <c r="A18" s="47"/>
      <c r="B18" s="47"/>
      <c r="C18" s="21"/>
      <c r="D18" s="21"/>
      <c r="E18" s="21"/>
      <c r="F18" s="21"/>
      <c r="G18" s="21"/>
      <c r="H18" s="21"/>
      <c r="I18" s="21"/>
      <c r="J18" s="21"/>
      <c r="K18" s="21"/>
      <c r="L18" s="21"/>
      <c r="M18" s="23"/>
    </row>
    <row r="19" spans="1:13">
      <c r="A19" s="47"/>
      <c r="B19" s="47"/>
      <c r="C19" s="21"/>
      <c r="D19" s="21"/>
      <c r="E19" s="21"/>
      <c r="F19" s="21"/>
      <c r="G19" s="21"/>
      <c r="H19" s="21"/>
      <c r="I19" s="21"/>
      <c r="J19" s="21"/>
      <c r="K19" s="21"/>
      <c r="L19" s="21"/>
      <c r="M19" s="23"/>
    </row>
    <row r="21" spans="1:13">
      <c r="A21" s="456" t="s">
        <v>649</v>
      </c>
      <c r="B21" s="456"/>
      <c r="C21" s="456"/>
      <c r="D21" s="456"/>
      <c r="E21" s="456"/>
      <c r="F21" s="456"/>
      <c r="G21" s="456"/>
      <c r="H21" s="456"/>
      <c r="I21" s="456"/>
      <c r="J21" s="456"/>
      <c r="K21" s="456"/>
    </row>
    <row r="23" spans="1:13">
      <c r="E23" s="41">
        <v>1</v>
      </c>
      <c r="F23" s="48">
        <f>(E23*5%)+E23</f>
        <v>1.05</v>
      </c>
      <c r="G23" s="48">
        <f t="shared" ref="G23:K23" si="3">(F23*5%)+F23</f>
        <v>1.1025</v>
      </c>
      <c r="H23" s="48">
        <f t="shared" si="3"/>
        <v>1.1576250000000001</v>
      </c>
      <c r="I23" s="48">
        <f t="shared" si="3"/>
        <v>1.2155062500000002</v>
      </c>
      <c r="J23" s="48">
        <f t="shared" si="3"/>
        <v>1.2762815625000004</v>
      </c>
      <c r="K23" s="48">
        <f t="shared" si="3"/>
        <v>1.3400956406250004</v>
      </c>
    </row>
    <row r="24" spans="1:13">
      <c r="A24" s="28" t="s">
        <v>145</v>
      </c>
      <c r="B24" s="28" t="s">
        <v>115</v>
      </c>
      <c r="C24" s="28" t="s">
        <v>116</v>
      </c>
      <c r="D24" s="28" t="s">
        <v>126</v>
      </c>
      <c r="E24" s="29" t="s">
        <v>148</v>
      </c>
      <c r="F24" s="29" t="s">
        <v>149</v>
      </c>
      <c r="G24" s="29" t="s">
        <v>150</v>
      </c>
      <c r="H24" s="29" t="s">
        <v>151</v>
      </c>
      <c r="I24" s="29" t="s">
        <v>152</v>
      </c>
      <c r="J24" s="29" t="s">
        <v>153</v>
      </c>
      <c r="K24" s="29" t="s">
        <v>154</v>
      </c>
    </row>
    <row r="25" spans="1:13">
      <c r="A25" s="16"/>
      <c r="B25" s="16"/>
      <c r="C25" s="16"/>
      <c r="D25" s="16"/>
      <c r="E25" s="9"/>
      <c r="F25" s="9"/>
      <c r="G25" s="9"/>
      <c r="H25" s="9"/>
      <c r="I25" s="9"/>
      <c r="J25" s="9"/>
      <c r="K25" s="9"/>
    </row>
    <row r="26" spans="1:13">
      <c r="A26" s="16" t="s">
        <v>343</v>
      </c>
      <c r="B26" s="16"/>
      <c r="C26" s="16"/>
      <c r="D26" s="16"/>
      <c r="E26" s="9"/>
      <c r="F26" s="9"/>
      <c r="G26" s="9"/>
      <c r="H26" s="9"/>
      <c r="I26" s="9"/>
      <c r="J26" s="9"/>
      <c r="K26" s="9"/>
    </row>
    <row r="27" spans="1:13">
      <c r="A27" s="36" t="s">
        <v>650</v>
      </c>
      <c r="B27" s="33"/>
      <c r="C27" s="49"/>
      <c r="D27" s="49"/>
      <c r="E27" s="19"/>
      <c r="F27" s="19"/>
      <c r="G27" s="19"/>
      <c r="H27" s="19"/>
      <c r="I27" s="19"/>
      <c r="J27" s="19"/>
      <c r="K27" s="19"/>
    </row>
    <row r="28" spans="1:13">
      <c r="A28" s="33" t="str">
        <f>B8</f>
        <v>Double Plough</v>
      </c>
      <c r="B28" s="33"/>
      <c r="C28" s="49">
        <f>H8</f>
        <v>0</v>
      </c>
      <c r="D28" s="49">
        <f>K8</f>
        <v>3000</v>
      </c>
      <c r="E28" s="19">
        <f>$C$28*$D$28*E23</f>
        <v>0</v>
      </c>
      <c r="F28" s="19">
        <f t="shared" ref="F28:K28" si="4">$C$28*$D$28*F23</f>
        <v>0</v>
      </c>
      <c r="G28" s="19">
        <f t="shared" si="4"/>
        <v>0</v>
      </c>
      <c r="H28" s="19">
        <f t="shared" si="4"/>
        <v>0</v>
      </c>
      <c r="I28" s="19">
        <f t="shared" si="4"/>
        <v>0</v>
      </c>
      <c r="J28" s="19">
        <f t="shared" si="4"/>
        <v>0</v>
      </c>
      <c r="K28" s="19">
        <f t="shared" si="4"/>
        <v>0</v>
      </c>
    </row>
    <row r="29" spans="1:13">
      <c r="A29" s="33" t="str">
        <f>B9</f>
        <v>Cultivator</v>
      </c>
      <c r="B29" s="33"/>
      <c r="C29" s="49">
        <f t="shared" ref="C29:C38" si="5">H9</f>
        <v>0</v>
      </c>
      <c r="D29" s="49">
        <f>K9</f>
        <v>1800</v>
      </c>
      <c r="E29" s="19">
        <f>$C$29*$D$29*E23</f>
        <v>0</v>
      </c>
      <c r="F29" s="19">
        <f t="shared" ref="F29:K29" si="6">$C$29*$D$29*F23</f>
        <v>0</v>
      </c>
      <c r="G29" s="19">
        <f t="shared" si="6"/>
        <v>0</v>
      </c>
      <c r="H29" s="19">
        <f t="shared" si="6"/>
        <v>0</v>
      </c>
      <c r="I29" s="19">
        <f t="shared" si="6"/>
        <v>0</v>
      </c>
      <c r="J29" s="19">
        <f t="shared" si="6"/>
        <v>0</v>
      </c>
      <c r="K29" s="19">
        <f t="shared" si="6"/>
        <v>0</v>
      </c>
    </row>
    <row r="30" spans="1:13">
      <c r="A30" s="33" t="str">
        <f>B10</f>
        <v>Rotavator</v>
      </c>
      <c r="B30" s="33"/>
      <c r="C30" s="49">
        <f t="shared" si="5"/>
        <v>0</v>
      </c>
      <c r="D30" s="49">
        <f>K10</f>
        <v>1800</v>
      </c>
      <c r="E30" s="19">
        <f>$C$30*$D$30*E23</f>
        <v>0</v>
      </c>
      <c r="F30" s="19">
        <f t="shared" ref="F30:K30" si="7">$C$30*$D$30*F23</f>
        <v>0</v>
      </c>
      <c r="G30" s="19">
        <f t="shared" si="7"/>
        <v>0</v>
      </c>
      <c r="H30" s="19">
        <f t="shared" si="7"/>
        <v>0</v>
      </c>
      <c r="I30" s="19">
        <f t="shared" si="7"/>
        <v>0</v>
      </c>
      <c r="J30" s="19">
        <f t="shared" si="7"/>
        <v>0</v>
      </c>
      <c r="K30" s="19">
        <f t="shared" si="7"/>
        <v>0</v>
      </c>
    </row>
    <row r="31" spans="1:13">
      <c r="A31" s="33" t="str">
        <f>B11</f>
        <v>BBF Seed Sowing Machine</v>
      </c>
      <c r="B31" s="33"/>
      <c r="C31" s="49">
        <f t="shared" si="5"/>
        <v>0</v>
      </c>
      <c r="D31" s="49">
        <f>K11</f>
        <v>1200</v>
      </c>
      <c r="E31" s="19">
        <f>$C$31*$D$31*E23</f>
        <v>0</v>
      </c>
      <c r="F31" s="19">
        <f t="shared" ref="F31:K31" si="8">$C$31*$D$31*F23</f>
        <v>0</v>
      </c>
      <c r="G31" s="19">
        <f t="shared" si="8"/>
        <v>0</v>
      </c>
      <c r="H31" s="19">
        <f t="shared" si="8"/>
        <v>0</v>
      </c>
      <c r="I31" s="19">
        <f t="shared" si="8"/>
        <v>0</v>
      </c>
      <c r="J31" s="19">
        <f t="shared" si="8"/>
        <v>0</v>
      </c>
      <c r="K31" s="19">
        <f t="shared" si="8"/>
        <v>0</v>
      </c>
    </row>
    <row r="32" spans="1:13">
      <c r="A32" s="33" t="str">
        <f>B12</f>
        <v>Mobile Threshing</v>
      </c>
      <c r="B32" s="33"/>
      <c r="C32" s="49">
        <f t="shared" si="5"/>
        <v>0</v>
      </c>
      <c r="D32" s="49">
        <f>K12</f>
        <v>3000</v>
      </c>
      <c r="E32" s="19">
        <f>$C$32*$D$32*E23</f>
        <v>0</v>
      </c>
      <c r="F32" s="19">
        <f t="shared" ref="F32:K32" si="9">$C$32*$D$32*F23</f>
        <v>0</v>
      </c>
      <c r="G32" s="19">
        <f t="shared" si="9"/>
        <v>0</v>
      </c>
      <c r="H32" s="19">
        <f t="shared" si="9"/>
        <v>0</v>
      </c>
      <c r="I32" s="19">
        <f t="shared" si="9"/>
        <v>0</v>
      </c>
      <c r="J32" s="19">
        <f t="shared" si="9"/>
        <v>0</v>
      </c>
      <c r="K32" s="19">
        <f t="shared" si="9"/>
        <v>0</v>
      </c>
    </row>
    <row r="33" spans="1:11">
      <c r="A33" s="33"/>
      <c r="B33" s="33"/>
      <c r="C33" s="49">
        <f t="shared" si="5"/>
        <v>0</v>
      </c>
      <c r="D33" s="49">
        <f t="shared" ref="D33:D38" si="10">K13</f>
        <v>0</v>
      </c>
      <c r="E33" s="19">
        <f>$C$33*$D$33*E23</f>
        <v>0</v>
      </c>
      <c r="F33" s="19">
        <f t="shared" ref="F33:K33" si="11">$C$33*$D$33*F23</f>
        <v>0</v>
      </c>
      <c r="G33" s="19">
        <f t="shared" si="11"/>
        <v>0</v>
      </c>
      <c r="H33" s="19">
        <f t="shared" si="11"/>
        <v>0</v>
      </c>
      <c r="I33" s="19">
        <f t="shared" si="11"/>
        <v>0</v>
      </c>
      <c r="J33" s="19">
        <f t="shared" si="11"/>
        <v>0</v>
      </c>
      <c r="K33" s="19">
        <f t="shared" si="11"/>
        <v>0</v>
      </c>
    </row>
    <row r="34" spans="1:11">
      <c r="A34" s="33"/>
      <c r="B34" s="33"/>
      <c r="C34" s="49">
        <f t="shared" si="5"/>
        <v>0</v>
      </c>
      <c r="D34" s="49">
        <f t="shared" si="10"/>
        <v>0</v>
      </c>
      <c r="E34" s="19">
        <f>$C$34*$D$34*E23</f>
        <v>0</v>
      </c>
      <c r="F34" s="19">
        <f t="shared" ref="F34:K34" si="12">$C$34*$D$34*F23</f>
        <v>0</v>
      </c>
      <c r="G34" s="19">
        <f t="shared" si="12"/>
        <v>0</v>
      </c>
      <c r="H34" s="19">
        <f t="shared" si="12"/>
        <v>0</v>
      </c>
      <c r="I34" s="19">
        <f t="shared" si="12"/>
        <v>0</v>
      </c>
      <c r="J34" s="19">
        <f t="shared" si="12"/>
        <v>0</v>
      </c>
      <c r="K34" s="19">
        <f t="shared" si="12"/>
        <v>0</v>
      </c>
    </row>
    <row r="35" spans="1:11">
      <c r="A35" s="33"/>
      <c r="B35" s="33"/>
      <c r="C35" s="49">
        <f t="shared" si="5"/>
        <v>0</v>
      </c>
      <c r="D35" s="49">
        <f t="shared" si="10"/>
        <v>0</v>
      </c>
      <c r="E35" s="19">
        <f>$C$35*$D$35*E23</f>
        <v>0</v>
      </c>
      <c r="F35" s="19">
        <f t="shared" ref="F35:K35" si="13">$C$35*$D$35*F23</f>
        <v>0</v>
      </c>
      <c r="G35" s="19">
        <f t="shared" si="13"/>
        <v>0</v>
      </c>
      <c r="H35" s="19">
        <f t="shared" si="13"/>
        <v>0</v>
      </c>
      <c r="I35" s="19">
        <f t="shared" si="13"/>
        <v>0</v>
      </c>
      <c r="J35" s="19">
        <f t="shared" si="13"/>
        <v>0</v>
      </c>
      <c r="K35" s="19">
        <f t="shared" si="13"/>
        <v>0</v>
      </c>
    </row>
    <row r="36" spans="1:11">
      <c r="A36" s="33"/>
      <c r="B36" s="33"/>
      <c r="C36" s="49">
        <f t="shared" si="5"/>
        <v>0</v>
      </c>
      <c r="D36" s="49">
        <f t="shared" si="10"/>
        <v>0</v>
      </c>
      <c r="E36" s="19">
        <f>$C$36*$D$36*E23</f>
        <v>0</v>
      </c>
      <c r="F36" s="19">
        <f t="shared" ref="F36:K36" si="14">$C$36*$D$36*F23</f>
        <v>0</v>
      </c>
      <c r="G36" s="19">
        <f t="shared" si="14"/>
        <v>0</v>
      </c>
      <c r="H36" s="19">
        <f t="shared" si="14"/>
        <v>0</v>
      </c>
      <c r="I36" s="19">
        <f t="shared" si="14"/>
        <v>0</v>
      </c>
      <c r="J36" s="19">
        <f t="shared" si="14"/>
        <v>0</v>
      </c>
      <c r="K36" s="19">
        <f t="shared" si="14"/>
        <v>0</v>
      </c>
    </row>
    <row r="37" spans="1:11">
      <c r="A37" s="33"/>
      <c r="B37" s="33"/>
      <c r="C37" s="49">
        <f t="shared" si="5"/>
        <v>0</v>
      </c>
      <c r="D37" s="49">
        <f t="shared" si="10"/>
        <v>0</v>
      </c>
      <c r="E37" s="19">
        <f>$C$37*$D$37*E23</f>
        <v>0</v>
      </c>
      <c r="F37" s="19">
        <f t="shared" ref="F37:K37" si="15">$C$37*$D$37*F23</f>
        <v>0</v>
      </c>
      <c r="G37" s="19">
        <f t="shared" si="15"/>
        <v>0</v>
      </c>
      <c r="H37" s="19">
        <f t="shared" si="15"/>
        <v>0</v>
      </c>
      <c r="I37" s="19">
        <f t="shared" si="15"/>
        <v>0</v>
      </c>
      <c r="J37" s="19">
        <f t="shared" si="15"/>
        <v>0</v>
      </c>
      <c r="K37" s="19">
        <f t="shared" si="15"/>
        <v>0</v>
      </c>
    </row>
    <row r="38" spans="1:11">
      <c r="A38" s="16"/>
      <c r="B38" s="16"/>
      <c r="C38" s="49">
        <f t="shared" si="5"/>
        <v>0</v>
      </c>
      <c r="D38" s="49">
        <f t="shared" si="10"/>
        <v>0</v>
      </c>
      <c r="E38" s="19">
        <f>$C$38*$D$38*E23</f>
        <v>0</v>
      </c>
      <c r="F38" s="19">
        <f t="shared" ref="F38:K38" si="16">$C$38*$D$38*F23</f>
        <v>0</v>
      </c>
      <c r="G38" s="19">
        <f t="shared" si="16"/>
        <v>0</v>
      </c>
      <c r="H38" s="19">
        <f t="shared" si="16"/>
        <v>0</v>
      </c>
      <c r="I38" s="19">
        <f t="shared" si="16"/>
        <v>0</v>
      </c>
      <c r="J38" s="19">
        <f t="shared" si="16"/>
        <v>0</v>
      </c>
      <c r="K38" s="19">
        <f t="shared" si="16"/>
        <v>0</v>
      </c>
    </row>
    <row r="39" spans="1:11">
      <c r="A39" s="16" t="s">
        <v>344</v>
      </c>
      <c r="B39" s="16"/>
      <c r="C39" s="37"/>
      <c r="D39" s="37"/>
      <c r="E39" s="19">
        <f>SUM(E28:E38)</f>
        <v>0</v>
      </c>
      <c r="F39" s="19">
        <f t="shared" ref="F39:K39" si="17">SUM(F28:F38)</f>
        <v>0</v>
      </c>
      <c r="G39" s="19">
        <f t="shared" si="17"/>
        <v>0</v>
      </c>
      <c r="H39" s="19">
        <f t="shared" si="17"/>
        <v>0</v>
      </c>
      <c r="I39" s="19">
        <f t="shared" si="17"/>
        <v>0</v>
      </c>
      <c r="J39" s="19">
        <f t="shared" si="17"/>
        <v>0</v>
      </c>
      <c r="K39" s="19">
        <f t="shared" si="17"/>
        <v>0</v>
      </c>
    </row>
    <row r="40" spans="1:11">
      <c r="A40" s="9"/>
      <c r="B40" s="9"/>
      <c r="C40" s="14"/>
      <c r="D40" s="14"/>
      <c r="E40" s="19"/>
      <c r="F40" s="19"/>
      <c r="G40" s="19"/>
      <c r="H40" s="19"/>
      <c r="I40" s="19"/>
      <c r="J40" s="19"/>
      <c r="K40" s="19"/>
    </row>
    <row r="41" spans="1:11">
      <c r="A41" s="16" t="s">
        <v>576</v>
      </c>
      <c r="B41" s="16"/>
      <c r="C41" s="37"/>
      <c r="D41" s="37"/>
      <c r="E41" s="19"/>
      <c r="F41" s="19"/>
      <c r="G41" s="19"/>
      <c r="H41" s="19"/>
      <c r="I41" s="19"/>
      <c r="J41" s="19"/>
      <c r="K41" s="19"/>
    </row>
    <row r="42" spans="1:11">
      <c r="A42" s="16" t="s">
        <v>651</v>
      </c>
      <c r="B42" s="16"/>
      <c r="C42" s="37"/>
      <c r="D42" s="37"/>
      <c r="E42" s="19"/>
      <c r="F42" s="19"/>
      <c r="G42" s="19"/>
      <c r="H42" s="19"/>
      <c r="I42" s="19"/>
      <c r="J42" s="19"/>
      <c r="K42" s="19"/>
    </row>
    <row r="43" spans="1:11">
      <c r="A43" s="9" t="s">
        <v>652</v>
      </c>
      <c r="B43" s="9" t="s">
        <v>653</v>
      </c>
      <c r="C43" s="14">
        <f>SUM(J8:J17)</f>
        <v>0</v>
      </c>
      <c r="D43" s="31">
        <v>100</v>
      </c>
      <c r="E43" s="19">
        <f>$C$43*$D$43*E23</f>
        <v>0</v>
      </c>
      <c r="F43" s="19">
        <f t="shared" ref="F43:K43" si="18">$C$43*$D$43*F23</f>
        <v>0</v>
      </c>
      <c r="G43" s="19">
        <f t="shared" si="18"/>
        <v>0</v>
      </c>
      <c r="H43" s="19">
        <f t="shared" si="18"/>
        <v>0</v>
      </c>
      <c r="I43" s="19">
        <f t="shared" si="18"/>
        <v>0</v>
      </c>
      <c r="J43" s="19">
        <f t="shared" si="18"/>
        <v>0</v>
      </c>
      <c r="K43" s="19">
        <f t="shared" si="18"/>
        <v>0</v>
      </c>
    </row>
    <row r="44" spans="1:11">
      <c r="A44" s="9" t="s">
        <v>654</v>
      </c>
      <c r="B44" s="9" t="s">
        <v>655</v>
      </c>
      <c r="C44" s="14">
        <f>SUM(M8:M17)</f>
        <v>0</v>
      </c>
      <c r="D44" s="31">
        <v>300</v>
      </c>
      <c r="E44" s="19">
        <f>$C$44*$D$44*E23</f>
        <v>0</v>
      </c>
      <c r="F44" s="19">
        <f t="shared" ref="F44:K44" si="19">$C$44*$D$44*F23</f>
        <v>0</v>
      </c>
      <c r="G44" s="19">
        <f t="shared" si="19"/>
        <v>0</v>
      </c>
      <c r="H44" s="19">
        <f t="shared" si="19"/>
        <v>0</v>
      </c>
      <c r="I44" s="19">
        <f t="shared" si="19"/>
        <v>0</v>
      </c>
      <c r="J44" s="19">
        <f t="shared" si="19"/>
        <v>0</v>
      </c>
      <c r="K44" s="19">
        <f t="shared" si="19"/>
        <v>0</v>
      </c>
    </row>
    <row r="45" spans="1:11">
      <c r="A45" s="9"/>
      <c r="B45" s="9"/>
      <c r="C45" s="31"/>
      <c r="D45" s="31"/>
      <c r="E45" s="19"/>
      <c r="F45" s="19"/>
      <c r="G45" s="19"/>
      <c r="H45" s="19"/>
      <c r="I45" s="19"/>
      <c r="J45" s="19"/>
      <c r="K45" s="19"/>
    </row>
    <row r="46" spans="1:11">
      <c r="A46" s="9"/>
      <c r="B46" s="9"/>
      <c r="C46" s="31"/>
      <c r="D46" s="31"/>
      <c r="E46" s="19"/>
      <c r="F46" s="19"/>
      <c r="G46" s="19"/>
      <c r="H46" s="19"/>
      <c r="I46" s="19"/>
      <c r="J46" s="19"/>
      <c r="K46" s="19"/>
    </row>
    <row r="47" spans="1:11">
      <c r="A47" s="9"/>
      <c r="B47" s="9"/>
      <c r="C47" s="31"/>
      <c r="D47" s="31"/>
      <c r="E47" s="19"/>
      <c r="F47" s="19"/>
      <c r="G47" s="19"/>
      <c r="H47" s="19"/>
      <c r="I47" s="19"/>
      <c r="J47" s="19"/>
      <c r="K47" s="19"/>
    </row>
    <row r="48" spans="1:11">
      <c r="A48" s="9"/>
      <c r="B48" s="9"/>
      <c r="C48" s="31"/>
      <c r="D48" s="31"/>
      <c r="E48" s="19"/>
      <c r="F48" s="19"/>
      <c r="G48" s="19"/>
      <c r="H48" s="19"/>
      <c r="I48" s="19"/>
      <c r="J48" s="19"/>
      <c r="K48" s="19"/>
    </row>
    <row r="49" spans="1:12">
      <c r="A49" s="16" t="s">
        <v>346</v>
      </c>
      <c r="B49" s="16"/>
      <c r="C49" s="50"/>
      <c r="D49" s="50"/>
      <c r="E49" s="18">
        <f>SUM(E43:E48)</f>
        <v>0</v>
      </c>
      <c r="F49" s="18">
        <f t="shared" ref="F49:K49" si="20">SUM(F43:F48)</f>
        <v>0</v>
      </c>
      <c r="G49" s="18">
        <f t="shared" si="20"/>
        <v>0</v>
      </c>
      <c r="H49" s="18">
        <f t="shared" si="20"/>
        <v>0</v>
      </c>
      <c r="I49" s="18">
        <f t="shared" si="20"/>
        <v>0</v>
      </c>
      <c r="J49" s="18">
        <f t="shared" si="20"/>
        <v>0</v>
      </c>
      <c r="K49" s="18">
        <f t="shared" si="20"/>
        <v>0</v>
      </c>
    </row>
    <row r="50" spans="1:12">
      <c r="A50" s="16"/>
      <c r="B50" s="16"/>
      <c r="C50" s="50"/>
      <c r="D50" s="50"/>
      <c r="E50" s="18"/>
      <c r="F50" s="18"/>
      <c r="G50" s="18"/>
      <c r="H50" s="18"/>
      <c r="I50" s="18"/>
      <c r="J50" s="18"/>
      <c r="K50" s="18"/>
    </row>
    <row r="51" spans="1:12">
      <c r="A51" s="36" t="s">
        <v>347</v>
      </c>
      <c r="B51" s="36"/>
      <c r="C51" s="34"/>
      <c r="D51" s="34"/>
      <c r="E51" s="19"/>
      <c r="F51" s="19"/>
      <c r="G51" s="19"/>
      <c r="H51" s="19"/>
      <c r="I51" s="19"/>
      <c r="J51" s="19"/>
      <c r="K51" s="19"/>
    </row>
    <row r="52" spans="1:12">
      <c r="A52" s="33" t="s">
        <v>656</v>
      </c>
      <c r="B52" s="9" t="s">
        <v>156</v>
      </c>
      <c r="C52" s="34">
        <v>1</v>
      </c>
      <c r="D52" s="51"/>
      <c r="E52" s="19">
        <f t="shared" ref="E52:K52" si="21">$C$52*$D$52*12*E23</f>
        <v>0</v>
      </c>
      <c r="F52" s="19">
        <f t="shared" si="21"/>
        <v>0</v>
      </c>
      <c r="G52" s="19">
        <f t="shared" si="21"/>
        <v>0</v>
      </c>
      <c r="H52" s="19">
        <f t="shared" si="21"/>
        <v>0</v>
      </c>
      <c r="I52" s="19">
        <f t="shared" si="21"/>
        <v>0</v>
      </c>
      <c r="J52" s="19">
        <f t="shared" si="21"/>
        <v>0</v>
      </c>
      <c r="K52" s="19">
        <f t="shared" si="21"/>
        <v>0</v>
      </c>
    </row>
    <row r="53" spans="1:12">
      <c r="A53" s="33"/>
      <c r="B53" s="33"/>
      <c r="C53" s="34"/>
      <c r="D53" s="51"/>
      <c r="E53" s="19"/>
      <c r="F53" s="19"/>
      <c r="G53" s="19"/>
      <c r="H53" s="19"/>
      <c r="I53" s="19"/>
      <c r="J53" s="19"/>
      <c r="K53" s="19"/>
    </row>
    <row r="54" spans="1:12">
      <c r="A54" s="33"/>
      <c r="B54" s="33"/>
      <c r="C54" s="34"/>
      <c r="D54" s="51"/>
      <c r="E54" s="19"/>
      <c r="F54" s="19"/>
      <c r="G54" s="19"/>
      <c r="H54" s="19"/>
      <c r="I54" s="19"/>
      <c r="J54" s="19"/>
      <c r="K54" s="19"/>
    </row>
    <row r="55" spans="1:12">
      <c r="A55" s="33"/>
      <c r="B55" s="33"/>
      <c r="C55" s="34"/>
      <c r="D55" s="51"/>
      <c r="E55" s="19"/>
      <c r="F55" s="19"/>
      <c r="G55" s="19"/>
      <c r="H55" s="19"/>
      <c r="I55" s="19"/>
      <c r="J55" s="19"/>
      <c r="K55" s="19"/>
    </row>
    <row r="56" spans="1:12">
      <c r="A56" s="16" t="s">
        <v>349</v>
      </c>
      <c r="B56" s="16"/>
      <c r="C56" s="16"/>
      <c r="D56" s="16"/>
      <c r="E56" s="18">
        <f>SUM(E52:E55)</f>
        <v>0</v>
      </c>
      <c r="F56" s="18">
        <f t="shared" ref="F56:K56" si="22">SUM(F52:F55)</f>
        <v>0</v>
      </c>
      <c r="G56" s="18">
        <f t="shared" si="22"/>
        <v>0</v>
      </c>
      <c r="H56" s="18">
        <f t="shared" si="22"/>
        <v>0</v>
      </c>
      <c r="I56" s="18">
        <f t="shared" si="22"/>
        <v>0</v>
      </c>
      <c r="J56" s="18">
        <f t="shared" si="22"/>
        <v>0</v>
      </c>
      <c r="K56" s="18">
        <f t="shared" si="22"/>
        <v>0</v>
      </c>
    </row>
    <row r="57" spans="1:12">
      <c r="A57" s="16" t="s">
        <v>583</v>
      </c>
      <c r="B57" s="16"/>
      <c r="C57" s="16"/>
      <c r="D57" s="16"/>
      <c r="E57" s="18">
        <f>E49+E56</f>
        <v>0</v>
      </c>
      <c r="F57" s="18">
        <f t="shared" ref="F57:K57" si="23">F49+F56</f>
        <v>0</v>
      </c>
      <c r="G57" s="18">
        <f t="shared" si="23"/>
        <v>0</v>
      </c>
      <c r="H57" s="18">
        <f t="shared" si="23"/>
        <v>0</v>
      </c>
      <c r="I57" s="18">
        <f t="shared" si="23"/>
        <v>0</v>
      </c>
      <c r="J57" s="18">
        <f t="shared" si="23"/>
        <v>0</v>
      </c>
      <c r="K57" s="18">
        <f t="shared" si="23"/>
        <v>0</v>
      </c>
    </row>
    <row r="58" spans="1:12">
      <c r="A58" s="9"/>
      <c r="B58" s="9"/>
      <c r="C58" s="9"/>
      <c r="D58" s="9"/>
      <c r="E58" s="19"/>
      <c r="F58" s="19"/>
      <c r="G58" s="19"/>
      <c r="H58" s="19"/>
      <c r="I58" s="19"/>
      <c r="J58" s="19"/>
      <c r="K58" s="19"/>
    </row>
    <row r="59" spans="1:12">
      <c r="A59" s="16" t="s">
        <v>657</v>
      </c>
      <c r="B59" s="16"/>
      <c r="C59" s="16"/>
      <c r="D59" s="16"/>
      <c r="E59" s="18">
        <f t="shared" ref="E59:K59" si="24">E39-E57</f>
        <v>0</v>
      </c>
      <c r="F59" s="18">
        <f t="shared" si="24"/>
        <v>0</v>
      </c>
      <c r="G59" s="18">
        <f t="shared" si="24"/>
        <v>0</v>
      </c>
      <c r="H59" s="18">
        <f t="shared" si="24"/>
        <v>0</v>
      </c>
      <c r="I59" s="18">
        <f t="shared" si="24"/>
        <v>0</v>
      </c>
      <c r="J59" s="18">
        <f t="shared" si="24"/>
        <v>0</v>
      </c>
      <c r="K59" s="18">
        <f t="shared" si="24"/>
        <v>0</v>
      </c>
    </row>
    <row r="60" spans="1:12">
      <c r="A60" s="52"/>
      <c r="B60" s="52"/>
      <c r="C60" s="52"/>
      <c r="D60" s="52"/>
      <c r="E60" s="53"/>
      <c r="F60" s="53"/>
      <c r="G60" s="53"/>
      <c r="H60" s="53"/>
      <c r="I60" s="53"/>
      <c r="J60" s="53"/>
      <c r="K60" s="53"/>
    </row>
    <row r="61" spans="1:12">
      <c r="C61" s="52"/>
      <c r="D61" s="52"/>
      <c r="E61" s="53"/>
      <c r="F61" s="53"/>
      <c r="G61" s="53"/>
      <c r="H61" s="53"/>
      <c r="I61" s="53"/>
      <c r="J61" s="53"/>
      <c r="K61" s="53"/>
    </row>
    <row r="62" spans="1:12">
      <c r="A62" s="456" t="s">
        <v>658</v>
      </c>
      <c r="B62" s="456"/>
      <c r="C62" s="456"/>
      <c r="D62" s="456"/>
      <c r="E62" s="456"/>
      <c r="F62" s="456"/>
      <c r="G62" s="456"/>
      <c r="H62" s="456"/>
      <c r="I62" s="456"/>
      <c r="J62" s="456"/>
      <c r="K62" s="456"/>
      <c r="L62" s="456"/>
    </row>
    <row r="65" spans="1:2">
      <c r="A65" s="1" t="s">
        <v>308</v>
      </c>
    </row>
    <row r="66" spans="1:2">
      <c r="A66" s="1">
        <v>1</v>
      </c>
      <c r="B66" s="1" t="s">
        <v>587</v>
      </c>
    </row>
    <row r="67" spans="1:2">
      <c r="A67" s="1">
        <v>2</v>
      </c>
      <c r="B67" s="1" t="s">
        <v>588</v>
      </c>
    </row>
    <row r="68" spans="1:2">
      <c r="A68" s="1">
        <v>3</v>
      </c>
      <c r="B68" s="1" t="s">
        <v>589</v>
      </c>
    </row>
  </sheetData>
  <mergeCells count="4">
    <mergeCell ref="A3:L3"/>
    <mergeCell ref="A4:L4"/>
    <mergeCell ref="A21:K21"/>
    <mergeCell ref="A62:L62"/>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dimension ref="A2:W284"/>
  <sheetViews>
    <sheetView view="pageBreakPreview" topLeftCell="A263" zoomScale="80" workbookViewId="0">
      <selection activeCell="D20" sqref="A1:XFD1048576"/>
    </sheetView>
  </sheetViews>
  <sheetFormatPr defaultColWidth="9" defaultRowHeight="15"/>
  <cols>
    <col min="1" max="1" width="41.140625" style="1" customWidth="1"/>
    <col min="2" max="2" width="4.42578125" style="1" customWidth="1"/>
    <col min="3" max="3" width="13.85546875" style="1" customWidth="1"/>
    <col min="4" max="4" width="13.42578125" style="1" customWidth="1"/>
    <col min="5" max="5" width="19.42578125" style="1" customWidth="1"/>
    <col min="6" max="10" width="14.7109375" style="1" customWidth="1"/>
    <col min="11" max="11" width="9" style="1"/>
    <col min="12" max="12" width="27.140625" style="1" customWidth="1"/>
    <col min="13" max="17" width="9" style="1"/>
    <col min="18" max="20" width="9.42578125" style="1" customWidth="1"/>
    <col min="21" max="21" width="9" style="1"/>
    <col min="22" max="22" width="9.42578125" style="1" customWidth="1"/>
    <col min="23" max="16384" width="9" style="1"/>
  </cols>
  <sheetData>
    <row r="2" spans="1:9">
      <c r="A2" s="456" t="s">
        <v>659</v>
      </c>
      <c r="B2" s="456"/>
      <c r="C2" s="456"/>
      <c r="D2" s="456"/>
      <c r="E2" s="456"/>
      <c r="F2" s="456"/>
      <c r="G2" s="456"/>
      <c r="H2" s="456"/>
      <c r="I2" s="456"/>
    </row>
    <row r="6" spans="1:9">
      <c r="A6" s="28" t="s">
        <v>80</v>
      </c>
      <c r="B6" s="28"/>
      <c r="C6" s="29" t="s">
        <v>148</v>
      </c>
      <c r="D6" s="29" t="s">
        <v>149</v>
      </c>
      <c r="E6" s="29" t="s">
        <v>150</v>
      </c>
      <c r="F6" s="29" t="s">
        <v>151</v>
      </c>
      <c r="G6" s="29" t="s">
        <v>152</v>
      </c>
      <c r="H6" s="29" t="s">
        <v>153</v>
      </c>
      <c r="I6" s="29" t="s">
        <v>154</v>
      </c>
    </row>
    <row r="7" spans="1:9">
      <c r="A7" s="37" t="s">
        <v>660</v>
      </c>
      <c r="B7" s="14"/>
      <c r="C7" s="14"/>
      <c r="D7" s="14"/>
      <c r="E7" s="14"/>
      <c r="F7" s="14"/>
      <c r="G7" s="14"/>
      <c r="H7" s="14"/>
      <c r="I7" s="14"/>
    </row>
    <row r="8" spans="1:9">
      <c r="A8" s="37" t="s">
        <v>661</v>
      </c>
      <c r="B8" s="38"/>
      <c r="C8" s="39"/>
      <c r="D8" s="39"/>
      <c r="E8" s="39"/>
      <c r="F8" s="39"/>
      <c r="G8" s="39"/>
      <c r="H8" s="39"/>
      <c r="I8" s="39"/>
    </row>
    <row r="9" spans="1:9">
      <c r="A9" s="14" t="str">
        <f>'10.Grain Production details'!A92</f>
        <v>Soybean</v>
      </c>
      <c r="B9" s="38"/>
      <c r="C9" s="39">
        <f>'10.Grain Production details'!B92</f>
        <v>0</v>
      </c>
      <c r="D9" s="39">
        <f>'10.Grain Production details'!C92</f>
        <v>0</v>
      </c>
      <c r="E9" s="39">
        <f>'10.Grain Production details'!D92</f>
        <v>0</v>
      </c>
      <c r="F9" s="39">
        <f>'10.Grain Production details'!E92</f>
        <v>0</v>
      </c>
      <c r="G9" s="39">
        <f>'10.Grain Production details'!F92</f>
        <v>0</v>
      </c>
      <c r="H9" s="39">
        <f>'10.Grain Production details'!G92</f>
        <v>0</v>
      </c>
      <c r="I9" s="39">
        <f>'10.Grain Production details'!H92</f>
        <v>0</v>
      </c>
    </row>
    <row r="10" spans="1:9">
      <c r="A10" s="14" t="str">
        <f>'10.Grain Production details'!A93</f>
        <v>Red Gram/Tur</v>
      </c>
      <c r="B10" s="38"/>
      <c r="C10" s="39">
        <f>'10.Grain Production details'!B93</f>
        <v>0</v>
      </c>
      <c r="D10" s="39">
        <f>'10.Grain Production details'!C93</f>
        <v>0</v>
      </c>
      <c r="E10" s="39">
        <f>'10.Grain Production details'!D93</f>
        <v>0</v>
      </c>
      <c r="F10" s="39">
        <f>'10.Grain Production details'!E93</f>
        <v>0</v>
      </c>
      <c r="G10" s="39">
        <f>'10.Grain Production details'!F93</f>
        <v>0</v>
      </c>
      <c r="H10" s="39">
        <f>'10.Grain Production details'!G93</f>
        <v>0</v>
      </c>
      <c r="I10" s="39">
        <f>'10.Grain Production details'!H93</f>
        <v>0</v>
      </c>
    </row>
    <row r="11" spans="1:9">
      <c r="A11" s="14" t="str">
        <f>'10.Grain Production details'!A94</f>
        <v>Paddy/Rice</v>
      </c>
      <c r="B11" s="38"/>
      <c r="C11" s="39">
        <f>'10.Grain Production details'!B94</f>
        <v>0</v>
      </c>
      <c r="D11" s="39">
        <f>'10.Grain Production details'!C94</f>
        <v>0</v>
      </c>
      <c r="E11" s="39">
        <f>'10.Grain Production details'!D94</f>
        <v>0</v>
      </c>
      <c r="F11" s="39">
        <f>'10.Grain Production details'!E94</f>
        <v>0</v>
      </c>
      <c r="G11" s="39">
        <f>'10.Grain Production details'!F94</f>
        <v>0</v>
      </c>
      <c r="H11" s="39">
        <f>'10.Grain Production details'!G94</f>
        <v>0</v>
      </c>
      <c r="I11" s="39">
        <f>'10.Grain Production details'!H94</f>
        <v>0</v>
      </c>
    </row>
    <row r="12" spans="1:9">
      <c r="A12" s="14" t="str">
        <f>'10.Grain Production details'!A95</f>
        <v>Green Gram/ Moong</v>
      </c>
      <c r="B12" s="38"/>
      <c r="C12" s="39">
        <f>'10.Grain Production details'!B95</f>
        <v>0</v>
      </c>
      <c r="D12" s="39">
        <f>'10.Grain Production details'!C95</f>
        <v>0</v>
      </c>
      <c r="E12" s="39">
        <f>'10.Grain Production details'!D95</f>
        <v>0</v>
      </c>
      <c r="F12" s="39">
        <f>'10.Grain Production details'!E95</f>
        <v>0</v>
      </c>
      <c r="G12" s="39">
        <f>'10.Grain Production details'!F95</f>
        <v>0</v>
      </c>
      <c r="H12" s="39">
        <f>'10.Grain Production details'!G95</f>
        <v>0</v>
      </c>
      <c r="I12" s="39">
        <f>'10.Grain Production details'!H95</f>
        <v>0</v>
      </c>
    </row>
    <row r="13" spans="1:9">
      <c r="A13" s="14" t="str">
        <f>'10.Grain Production details'!A96</f>
        <v>Maize</v>
      </c>
      <c r="B13" s="38"/>
      <c r="C13" s="39">
        <f>'10.Grain Production details'!B96</f>
        <v>0</v>
      </c>
      <c r="D13" s="39">
        <f>'10.Grain Production details'!C96</f>
        <v>0</v>
      </c>
      <c r="E13" s="39">
        <f>'10.Grain Production details'!D96</f>
        <v>0</v>
      </c>
      <c r="F13" s="39">
        <f>'10.Grain Production details'!E96</f>
        <v>0</v>
      </c>
      <c r="G13" s="39">
        <f>'10.Grain Production details'!F96</f>
        <v>0</v>
      </c>
      <c r="H13" s="39">
        <f>'10.Grain Production details'!G96</f>
        <v>0</v>
      </c>
      <c r="I13" s="39">
        <f>'10.Grain Production details'!H96</f>
        <v>0</v>
      </c>
    </row>
    <row r="14" spans="1:9">
      <c r="A14" s="14" t="str">
        <f>'10.Grain Production details'!A97</f>
        <v>Black Gram/Udid</v>
      </c>
      <c r="B14" s="38"/>
      <c r="C14" s="39">
        <f>'10.Grain Production details'!B97</f>
        <v>0</v>
      </c>
      <c r="D14" s="39">
        <f>'10.Grain Production details'!C97</f>
        <v>0</v>
      </c>
      <c r="E14" s="39">
        <f>'10.Grain Production details'!D97</f>
        <v>0</v>
      </c>
      <c r="F14" s="39">
        <f>'10.Grain Production details'!E97</f>
        <v>0</v>
      </c>
      <c r="G14" s="39">
        <f>'10.Grain Production details'!F97</f>
        <v>0</v>
      </c>
      <c r="H14" s="39">
        <f>'10.Grain Production details'!G97</f>
        <v>0</v>
      </c>
      <c r="I14" s="39">
        <f>'10.Grain Production details'!H97</f>
        <v>0</v>
      </c>
    </row>
    <row r="15" spans="1:9">
      <c r="A15" s="14" t="str">
        <f>'10.Grain Production details'!A98</f>
        <v>Bajra</v>
      </c>
      <c r="B15" s="38"/>
      <c r="C15" s="39">
        <f>'10.Grain Production details'!B98</f>
        <v>0</v>
      </c>
      <c r="D15" s="39">
        <f>'10.Grain Production details'!C98</f>
        <v>0</v>
      </c>
      <c r="E15" s="39">
        <f>'10.Grain Production details'!D98</f>
        <v>0</v>
      </c>
      <c r="F15" s="39">
        <f>'10.Grain Production details'!E98</f>
        <v>0</v>
      </c>
      <c r="G15" s="39">
        <f>'10.Grain Production details'!F98</f>
        <v>0</v>
      </c>
      <c r="H15" s="39">
        <f>'10.Grain Production details'!G98</f>
        <v>0</v>
      </c>
      <c r="I15" s="39">
        <f>'10.Grain Production details'!H98</f>
        <v>0</v>
      </c>
    </row>
    <row r="16" spans="1:9">
      <c r="A16" s="14" t="str">
        <f>'10.Grain Production details'!A99</f>
        <v>Jawar</v>
      </c>
      <c r="B16" s="38"/>
      <c r="C16" s="39">
        <f>'10.Grain Production details'!B99</f>
        <v>0</v>
      </c>
      <c r="D16" s="39">
        <f>'10.Grain Production details'!C99</f>
        <v>0</v>
      </c>
      <c r="E16" s="39">
        <f>'10.Grain Production details'!D99</f>
        <v>0</v>
      </c>
      <c r="F16" s="39">
        <f>'10.Grain Production details'!E99</f>
        <v>0</v>
      </c>
      <c r="G16" s="39">
        <f>'10.Grain Production details'!F99</f>
        <v>0</v>
      </c>
      <c r="H16" s="39">
        <f>'10.Grain Production details'!G99</f>
        <v>0</v>
      </c>
      <c r="I16" s="39">
        <f>'10.Grain Production details'!H99</f>
        <v>0</v>
      </c>
    </row>
    <row r="17" spans="1:9">
      <c r="A17" s="37" t="s">
        <v>662</v>
      </c>
      <c r="B17" s="38"/>
      <c r="C17" s="39"/>
      <c r="D17" s="39"/>
      <c r="E17" s="39"/>
      <c r="F17" s="39"/>
      <c r="G17" s="39"/>
      <c r="H17" s="39"/>
      <c r="I17" s="39"/>
    </row>
    <row r="18" spans="1:9">
      <c r="A18" s="14" t="str">
        <f>'10.Grain Production details'!A101</f>
        <v>Wheat</v>
      </c>
      <c r="B18" s="38"/>
      <c r="C18" s="39">
        <f>'10.Grain Production details'!B101</f>
        <v>0</v>
      </c>
      <c r="D18" s="39">
        <f>'10.Grain Production details'!C101</f>
        <v>0</v>
      </c>
      <c r="E18" s="39">
        <f>'10.Grain Production details'!D101</f>
        <v>0</v>
      </c>
      <c r="F18" s="39">
        <f>'10.Grain Production details'!E101</f>
        <v>0</v>
      </c>
      <c r="G18" s="39">
        <f>'10.Grain Production details'!F101</f>
        <v>0</v>
      </c>
      <c r="H18" s="39">
        <f>'10.Grain Production details'!G101</f>
        <v>0</v>
      </c>
      <c r="I18" s="39">
        <f>'10.Grain Production details'!H101</f>
        <v>0</v>
      </c>
    </row>
    <row r="19" spans="1:9">
      <c r="A19" s="14" t="str">
        <f>'10.Grain Production details'!A102</f>
        <v>Bengal Gram/Channa</v>
      </c>
      <c r="B19" s="38"/>
      <c r="C19" s="39">
        <f>'10.Grain Production details'!B102</f>
        <v>0</v>
      </c>
      <c r="D19" s="39">
        <f>'10.Grain Production details'!C102</f>
        <v>0</v>
      </c>
      <c r="E19" s="39">
        <f>'10.Grain Production details'!D102</f>
        <v>0</v>
      </c>
      <c r="F19" s="39">
        <f>'10.Grain Production details'!E102</f>
        <v>0</v>
      </c>
      <c r="G19" s="39">
        <f>'10.Grain Production details'!F102</f>
        <v>0</v>
      </c>
      <c r="H19" s="39">
        <f>'10.Grain Production details'!G102</f>
        <v>0</v>
      </c>
      <c r="I19" s="39">
        <f>'10.Grain Production details'!H102</f>
        <v>0</v>
      </c>
    </row>
    <row r="20" spans="1:9">
      <c r="A20" s="14" t="str">
        <f>'10.Grain Production details'!A103</f>
        <v>Jawar</v>
      </c>
      <c r="B20" s="38"/>
      <c r="C20" s="39">
        <f>'10.Grain Production details'!B103</f>
        <v>0</v>
      </c>
      <c r="D20" s="39">
        <f>'10.Grain Production details'!C103</f>
        <v>0</v>
      </c>
      <c r="E20" s="39">
        <f>'10.Grain Production details'!D103</f>
        <v>0</v>
      </c>
      <c r="F20" s="39">
        <f>'10.Grain Production details'!E103</f>
        <v>0</v>
      </c>
      <c r="G20" s="39">
        <f>'10.Grain Production details'!F103</f>
        <v>0</v>
      </c>
      <c r="H20" s="39">
        <f>'10.Grain Production details'!G103</f>
        <v>0</v>
      </c>
      <c r="I20" s="39">
        <f>'10.Grain Production details'!H103</f>
        <v>0</v>
      </c>
    </row>
    <row r="21" spans="1:9">
      <c r="A21" s="14" t="str">
        <f>'10.Grain Production details'!A104</f>
        <v>Maize</v>
      </c>
      <c r="B21" s="38"/>
      <c r="C21" s="39">
        <f>'10.Grain Production details'!B104</f>
        <v>0</v>
      </c>
      <c r="D21" s="39">
        <f>'10.Grain Production details'!C104</f>
        <v>0</v>
      </c>
      <c r="E21" s="39">
        <f>'10.Grain Production details'!D104</f>
        <v>0</v>
      </c>
      <c r="F21" s="39">
        <f>'10.Grain Production details'!E104</f>
        <v>0</v>
      </c>
      <c r="G21" s="39">
        <f>'10.Grain Production details'!F104</f>
        <v>0</v>
      </c>
      <c r="H21" s="39">
        <f>'10.Grain Production details'!G104</f>
        <v>0</v>
      </c>
      <c r="I21" s="39">
        <f>'10.Grain Production details'!H104</f>
        <v>0</v>
      </c>
    </row>
    <row r="22" spans="1:9">
      <c r="A22" s="14" t="str">
        <f>'10.Grain Production details'!A105</f>
        <v>Safflower</v>
      </c>
      <c r="B22" s="38"/>
      <c r="C22" s="39">
        <f>'10.Grain Production details'!B105</f>
        <v>0</v>
      </c>
      <c r="D22" s="39">
        <f>'10.Grain Production details'!C105</f>
        <v>0</v>
      </c>
      <c r="E22" s="39">
        <f>'10.Grain Production details'!D105</f>
        <v>0</v>
      </c>
      <c r="F22" s="39">
        <f>'10.Grain Production details'!E105</f>
        <v>0</v>
      </c>
      <c r="G22" s="39">
        <f>'10.Grain Production details'!F105</f>
        <v>0</v>
      </c>
      <c r="H22" s="39">
        <f>'10.Grain Production details'!G105</f>
        <v>0</v>
      </c>
      <c r="I22" s="39">
        <f>'10.Grain Production details'!H105</f>
        <v>0</v>
      </c>
    </row>
    <row r="23" spans="1:9">
      <c r="A23" s="14">
        <f>'10.Grain Production details'!A106</f>
        <v>0</v>
      </c>
      <c r="B23" s="38"/>
      <c r="C23" s="39">
        <f>'10.Grain Production details'!B106</f>
        <v>0</v>
      </c>
      <c r="D23" s="39">
        <f>'10.Grain Production details'!C106</f>
        <v>0</v>
      </c>
      <c r="E23" s="39">
        <f>'10.Grain Production details'!D106</f>
        <v>0</v>
      </c>
      <c r="F23" s="39">
        <f>'10.Grain Production details'!E106</f>
        <v>0</v>
      </c>
      <c r="G23" s="39">
        <f>'10.Grain Production details'!F106</f>
        <v>0</v>
      </c>
      <c r="H23" s="39">
        <f>'10.Grain Production details'!G106</f>
        <v>0</v>
      </c>
      <c r="I23" s="39">
        <f>'10.Grain Production details'!H106</f>
        <v>0</v>
      </c>
    </row>
    <row r="24" spans="1:9">
      <c r="A24" s="14">
        <f>'10.Grain Production details'!A107</f>
        <v>0</v>
      </c>
      <c r="B24" s="38"/>
      <c r="C24" s="39">
        <f>'10.Grain Production details'!B107</f>
        <v>0</v>
      </c>
      <c r="D24" s="39">
        <f>'10.Grain Production details'!C107</f>
        <v>0</v>
      </c>
      <c r="E24" s="39">
        <f>'10.Grain Production details'!D107</f>
        <v>0</v>
      </c>
      <c r="F24" s="39">
        <f>'10.Grain Production details'!E107</f>
        <v>0</v>
      </c>
      <c r="G24" s="39">
        <f>'10.Grain Production details'!F107</f>
        <v>0</v>
      </c>
      <c r="H24" s="39">
        <f>'10.Grain Production details'!G107</f>
        <v>0</v>
      </c>
      <c r="I24" s="39">
        <f>'10.Grain Production details'!H107</f>
        <v>0</v>
      </c>
    </row>
    <row r="25" spans="1:9">
      <c r="A25" s="14">
        <f>'10.Grain Production details'!A108</f>
        <v>0</v>
      </c>
      <c r="B25" s="38"/>
      <c r="C25" s="39">
        <f>'10.Grain Production details'!B108</f>
        <v>0</v>
      </c>
      <c r="D25" s="39">
        <f>'10.Grain Production details'!C108</f>
        <v>0</v>
      </c>
      <c r="E25" s="39">
        <f>'10.Grain Production details'!D108</f>
        <v>0</v>
      </c>
      <c r="F25" s="39">
        <f>'10.Grain Production details'!E108</f>
        <v>0</v>
      </c>
      <c r="G25" s="39">
        <f>'10.Grain Production details'!F108</f>
        <v>0</v>
      </c>
      <c r="H25" s="39">
        <f>'10.Grain Production details'!G108</f>
        <v>0</v>
      </c>
      <c r="I25" s="39">
        <f>'10.Grain Production details'!H108</f>
        <v>0</v>
      </c>
    </row>
    <row r="26" spans="1:9">
      <c r="A26" s="37" t="str">
        <f>'10.Grain Production details'!A33</f>
        <v>Summer</v>
      </c>
      <c r="B26" s="38"/>
      <c r="C26" s="39"/>
      <c r="D26" s="39"/>
      <c r="E26" s="39"/>
      <c r="F26" s="39"/>
      <c r="G26" s="39"/>
      <c r="H26" s="39"/>
      <c r="I26" s="39"/>
    </row>
    <row r="27" spans="1:9">
      <c r="A27" s="14" t="str">
        <f>'10.Grain Production details'!A109</f>
        <v>Groundnut</v>
      </c>
      <c r="B27" s="38"/>
      <c r="C27" s="39">
        <f>'10.Grain Production details'!B110</f>
        <v>0</v>
      </c>
      <c r="D27" s="39">
        <f>'10.Grain Production details'!C110</f>
        <v>0</v>
      </c>
      <c r="E27" s="39">
        <f>'10.Grain Production details'!D110</f>
        <v>0</v>
      </c>
      <c r="F27" s="39">
        <f>'10.Grain Production details'!E110</f>
        <v>0</v>
      </c>
      <c r="G27" s="39">
        <f>'10.Grain Production details'!F110</f>
        <v>0</v>
      </c>
      <c r="H27" s="39">
        <f>'10.Grain Production details'!G110</f>
        <v>0</v>
      </c>
      <c r="I27" s="39">
        <f>'10.Grain Production details'!H110</f>
        <v>0</v>
      </c>
    </row>
    <row r="28" spans="1:9">
      <c r="A28" s="14">
        <f>'10.Grain Production details'!A110</f>
        <v>0</v>
      </c>
      <c r="B28" s="38"/>
      <c r="C28" s="39">
        <f>'10.Grain Production details'!B111</f>
        <v>0</v>
      </c>
      <c r="D28" s="39">
        <f>'10.Grain Production details'!C111</f>
        <v>0</v>
      </c>
      <c r="E28" s="39">
        <f>'10.Grain Production details'!D111</f>
        <v>0</v>
      </c>
      <c r="F28" s="39">
        <f>'10.Grain Production details'!E111</f>
        <v>0</v>
      </c>
      <c r="G28" s="39">
        <f>'10.Grain Production details'!F111</f>
        <v>0</v>
      </c>
      <c r="H28" s="39">
        <f>'10.Grain Production details'!G111</f>
        <v>0</v>
      </c>
      <c r="I28" s="39">
        <f>'10.Grain Production details'!H111</f>
        <v>0</v>
      </c>
    </row>
    <row r="29" spans="1:9">
      <c r="A29" s="14">
        <f>'10.Grain Production details'!A111</f>
        <v>0</v>
      </c>
      <c r="B29" s="38"/>
      <c r="C29" s="39">
        <f>'10.Grain Production details'!B112</f>
        <v>0</v>
      </c>
      <c r="D29" s="39">
        <f>'10.Grain Production details'!C112</f>
        <v>0</v>
      </c>
      <c r="E29" s="39">
        <f>'10.Grain Production details'!D112</f>
        <v>0</v>
      </c>
      <c r="F29" s="39">
        <f>'10.Grain Production details'!E112</f>
        <v>0</v>
      </c>
      <c r="G29" s="39">
        <f>'10.Grain Production details'!F112</f>
        <v>0</v>
      </c>
      <c r="H29" s="39">
        <f>'10.Grain Production details'!G112</f>
        <v>0</v>
      </c>
      <c r="I29" s="39">
        <f>'10.Grain Production details'!H112</f>
        <v>0</v>
      </c>
    </row>
    <row r="30" spans="1:9">
      <c r="A30" s="14">
        <f>'10.Grain Production details'!A112</f>
        <v>0</v>
      </c>
      <c r="B30" s="38"/>
      <c r="C30" s="39">
        <f>'10.Grain Production details'!B113</f>
        <v>0</v>
      </c>
      <c r="D30" s="39">
        <f>'10.Grain Production details'!C113</f>
        <v>0</v>
      </c>
      <c r="E30" s="39">
        <f>'10.Grain Production details'!D113</f>
        <v>0</v>
      </c>
      <c r="F30" s="39">
        <f>'10.Grain Production details'!E113</f>
        <v>0</v>
      </c>
      <c r="G30" s="39">
        <f>'10.Grain Production details'!F113</f>
        <v>0</v>
      </c>
      <c r="H30" s="39">
        <f>'10.Grain Production details'!G113</f>
        <v>0</v>
      </c>
      <c r="I30" s="39">
        <f>'10.Grain Production details'!H113</f>
        <v>0</v>
      </c>
    </row>
    <row r="31" spans="1:9">
      <c r="A31" s="14">
        <f>'10.Grain Production details'!A113</f>
        <v>0</v>
      </c>
      <c r="B31" s="38"/>
      <c r="C31" s="39">
        <f>'10.Grain Production details'!C114</f>
        <v>0</v>
      </c>
      <c r="D31" s="39">
        <f>'10.Grain Production details'!D114</f>
        <v>0</v>
      </c>
      <c r="E31" s="39">
        <f>'10.Grain Production details'!E114</f>
        <v>0</v>
      </c>
      <c r="F31" s="39">
        <f>'10.Grain Production details'!F114</f>
        <v>0</v>
      </c>
      <c r="G31" s="39">
        <f>'10.Grain Production details'!G114</f>
        <v>0</v>
      </c>
      <c r="H31" s="39">
        <f>'10.Grain Production details'!H114</f>
        <v>0</v>
      </c>
      <c r="I31" s="39">
        <f>'10.Grain Production details'!I114</f>
        <v>0</v>
      </c>
    </row>
    <row r="32" spans="1:9">
      <c r="A32" s="37" t="str">
        <f>'11.F&amp;V Crop Production details'!A1:H1</f>
        <v>Fruit  &amp; Vegetables Crop Production Details</v>
      </c>
      <c r="B32" s="38"/>
      <c r="C32" s="39"/>
      <c r="D32" s="39"/>
      <c r="E32" s="39"/>
      <c r="F32" s="39"/>
      <c r="G32" s="39"/>
      <c r="H32" s="39"/>
      <c r="I32" s="39"/>
    </row>
    <row r="33" spans="1:9">
      <c r="A33" s="14" t="str">
        <f>'11.F&amp;V Crop Production details'!A102</f>
        <v>Onion</v>
      </c>
      <c r="B33" s="38"/>
      <c r="C33" s="39">
        <f>'11.F&amp;V Crop Production details'!B102</f>
        <v>0</v>
      </c>
      <c r="D33" s="39">
        <f>'11.F&amp;V Crop Production details'!C102</f>
        <v>0</v>
      </c>
      <c r="E33" s="39">
        <f>'11.F&amp;V Crop Production details'!D102</f>
        <v>0</v>
      </c>
      <c r="F33" s="39">
        <f>'11.F&amp;V Crop Production details'!E102</f>
        <v>0</v>
      </c>
      <c r="G33" s="39">
        <f>'11.F&amp;V Crop Production details'!F102</f>
        <v>0</v>
      </c>
      <c r="H33" s="39">
        <f>'11.F&amp;V Crop Production details'!G102</f>
        <v>0</v>
      </c>
      <c r="I33" s="39">
        <f>'11.F&amp;V Crop Production details'!H102</f>
        <v>0</v>
      </c>
    </row>
    <row r="34" spans="1:9">
      <c r="A34" s="14" t="str">
        <f>'11.F&amp;V Crop Production details'!A103</f>
        <v>Tomato</v>
      </c>
      <c r="B34" s="38"/>
      <c r="C34" s="39">
        <f>'11.F&amp;V Crop Production details'!B103</f>
        <v>0</v>
      </c>
      <c r="D34" s="39">
        <f>'11.F&amp;V Crop Production details'!C103</f>
        <v>0</v>
      </c>
      <c r="E34" s="39">
        <f>'11.F&amp;V Crop Production details'!D103</f>
        <v>0</v>
      </c>
      <c r="F34" s="39">
        <f>'11.F&amp;V Crop Production details'!E103</f>
        <v>0</v>
      </c>
      <c r="G34" s="39">
        <f>'11.F&amp;V Crop Production details'!F103</f>
        <v>0</v>
      </c>
      <c r="H34" s="39">
        <f>'11.F&amp;V Crop Production details'!G103</f>
        <v>0</v>
      </c>
      <c r="I34" s="39">
        <f>'11.F&amp;V Crop Production details'!H103</f>
        <v>0</v>
      </c>
    </row>
    <row r="35" spans="1:9">
      <c r="A35" s="14" t="str">
        <f>'11.F&amp;V Crop Production details'!A104</f>
        <v>Okra</v>
      </c>
      <c r="B35" s="38"/>
      <c r="C35" s="39">
        <f>'11.F&amp;V Crop Production details'!B104</f>
        <v>0</v>
      </c>
      <c r="D35" s="39">
        <f>'11.F&amp;V Crop Production details'!C104</f>
        <v>0</v>
      </c>
      <c r="E35" s="39">
        <f>'11.F&amp;V Crop Production details'!D104</f>
        <v>0</v>
      </c>
      <c r="F35" s="39">
        <f>'11.F&amp;V Crop Production details'!E104</f>
        <v>0</v>
      </c>
      <c r="G35" s="39">
        <f>'11.F&amp;V Crop Production details'!F104</f>
        <v>0</v>
      </c>
      <c r="H35" s="39">
        <f>'11.F&amp;V Crop Production details'!G104</f>
        <v>0</v>
      </c>
      <c r="I35" s="39">
        <f>'11.F&amp;V Crop Production details'!H104</f>
        <v>0</v>
      </c>
    </row>
    <row r="36" spans="1:9">
      <c r="A36" s="14" t="str">
        <f>'11.F&amp;V Crop Production details'!A105</f>
        <v>Chilli</v>
      </c>
      <c r="B36" s="38"/>
      <c r="C36" s="39">
        <f>'11.F&amp;V Crop Production details'!B105</f>
        <v>0</v>
      </c>
      <c r="D36" s="39">
        <f>'11.F&amp;V Crop Production details'!C105</f>
        <v>0</v>
      </c>
      <c r="E36" s="39">
        <f>'11.F&amp;V Crop Production details'!D105</f>
        <v>0</v>
      </c>
      <c r="F36" s="39">
        <f>'11.F&amp;V Crop Production details'!E105</f>
        <v>0</v>
      </c>
      <c r="G36" s="39">
        <f>'11.F&amp;V Crop Production details'!F105</f>
        <v>0</v>
      </c>
      <c r="H36" s="39">
        <f>'11.F&amp;V Crop Production details'!G105</f>
        <v>0</v>
      </c>
      <c r="I36" s="39">
        <f>'11.F&amp;V Crop Production details'!H105</f>
        <v>0</v>
      </c>
    </row>
    <row r="37" spans="1:9">
      <c r="A37" s="14" t="str">
        <f>'11.F&amp;V Crop Production details'!A106</f>
        <v>Potato</v>
      </c>
      <c r="B37" s="38"/>
      <c r="C37" s="39">
        <f>'11.F&amp;V Crop Production details'!B106</f>
        <v>0</v>
      </c>
      <c r="D37" s="39">
        <f>'11.F&amp;V Crop Production details'!C106</f>
        <v>0</v>
      </c>
      <c r="E37" s="39">
        <f>'11.F&amp;V Crop Production details'!D106</f>
        <v>0</v>
      </c>
      <c r="F37" s="39">
        <f>'11.F&amp;V Crop Production details'!E106</f>
        <v>0</v>
      </c>
      <c r="G37" s="39">
        <f>'11.F&amp;V Crop Production details'!F106</f>
        <v>0</v>
      </c>
      <c r="H37" s="39">
        <f>'11.F&amp;V Crop Production details'!G106</f>
        <v>0</v>
      </c>
      <c r="I37" s="39">
        <f>'11.F&amp;V Crop Production details'!H106</f>
        <v>0</v>
      </c>
    </row>
    <row r="38" spans="1:9">
      <c r="A38" s="14">
        <f>'11.F&amp;V Crop Production details'!A107</f>
        <v>0</v>
      </c>
      <c r="B38" s="38"/>
      <c r="C38" s="39">
        <f>'11.F&amp;V Crop Production details'!B107</f>
        <v>0</v>
      </c>
      <c r="D38" s="39">
        <f>'11.F&amp;V Crop Production details'!C107</f>
        <v>0</v>
      </c>
      <c r="E38" s="39">
        <f>'11.F&amp;V Crop Production details'!D107</f>
        <v>0</v>
      </c>
      <c r="F38" s="39">
        <f>'11.F&amp;V Crop Production details'!E107</f>
        <v>0</v>
      </c>
      <c r="G38" s="39">
        <f>'11.F&amp;V Crop Production details'!F107</f>
        <v>0</v>
      </c>
      <c r="H38" s="39">
        <f>'11.F&amp;V Crop Production details'!G107</f>
        <v>0</v>
      </c>
      <c r="I38" s="39">
        <f>'11.F&amp;V Crop Production details'!H107</f>
        <v>0</v>
      </c>
    </row>
    <row r="39" spans="1:9">
      <c r="A39" s="14">
        <f>'11.F&amp;V Crop Production details'!A108</f>
        <v>0</v>
      </c>
      <c r="B39" s="38"/>
      <c r="C39" s="39">
        <f>'11.F&amp;V Crop Production details'!B108</f>
        <v>0</v>
      </c>
      <c r="D39" s="39">
        <f>'11.F&amp;V Crop Production details'!C108</f>
        <v>0</v>
      </c>
      <c r="E39" s="39">
        <f>'11.F&amp;V Crop Production details'!D108</f>
        <v>0</v>
      </c>
      <c r="F39" s="39">
        <f>'11.F&amp;V Crop Production details'!E108</f>
        <v>0</v>
      </c>
      <c r="G39" s="39">
        <f>'11.F&amp;V Crop Production details'!F108</f>
        <v>0</v>
      </c>
      <c r="H39" s="39">
        <f>'11.F&amp;V Crop Production details'!G108</f>
        <v>0</v>
      </c>
      <c r="I39" s="39">
        <f>'11.F&amp;V Crop Production details'!H108</f>
        <v>0</v>
      </c>
    </row>
    <row r="40" spans="1:9">
      <c r="A40" s="14">
        <f>'11.F&amp;V Crop Production details'!A109</f>
        <v>0</v>
      </c>
      <c r="B40" s="38"/>
      <c r="C40" s="39">
        <f>'11.F&amp;V Crop Production details'!B109</f>
        <v>0</v>
      </c>
      <c r="D40" s="39">
        <f>'11.F&amp;V Crop Production details'!C109</f>
        <v>0</v>
      </c>
      <c r="E40" s="39">
        <f>'11.F&amp;V Crop Production details'!D109</f>
        <v>0</v>
      </c>
      <c r="F40" s="39">
        <f>'11.F&amp;V Crop Production details'!E109</f>
        <v>0</v>
      </c>
      <c r="G40" s="39">
        <f>'11.F&amp;V Crop Production details'!F109</f>
        <v>0</v>
      </c>
      <c r="H40" s="39">
        <f>'11.F&amp;V Crop Production details'!G109</f>
        <v>0</v>
      </c>
      <c r="I40" s="39">
        <f>'11.F&amp;V Crop Production details'!H109</f>
        <v>0</v>
      </c>
    </row>
    <row r="41" spans="1:9">
      <c r="A41" s="14">
        <f>'11.F&amp;V Crop Production details'!A110</f>
        <v>0</v>
      </c>
      <c r="B41" s="38"/>
      <c r="C41" s="39">
        <f>'11.F&amp;V Crop Production details'!B110</f>
        <v>0</v>
      </c>
      <c r="D41" s="39">
        <f>'11.F&amp;V Crop Production details'!C110</f>
        <v>0</v>
      </c>
      <c r="E41" s="39">
        <f>'11.F&amp;V Crop Production details'!D110</f>
        <v>0</v>
      </c>
      <c r="F41" s="39">
        <f>'11.F&amp;V Crop Production details'!E110</f>
        <v>0</v>
      </c>
      <c r="G41" s="39">
        <f>'11.F&amp;V Crop Production details'!F110</f>
        <v>0</v>
      </c>
      <c r="H41" s="39">
        <f>'11.F&amp;V Crop Production details'!G110</f>
        <v>0</v>
      </c>
      <c r="I41" s="39">
        <f>'11.F&amp;V Crop Production details'!H110</f>
        <v>0</v>
      </c>
    </row>
    <row r="42" spans="1:9">
      <c r="A42" s="14" t="str">
        <f>'11.F&amp;V Crop Production details'!A111</f>
        <v>Onion</v>
      </c>
      <c r="B42" s="38"/>
      <c r="C42" s="39">
        <f>'11.F&amp;V Crop Production details'!B111</f>
        <v>0</v>
      </c>
      <c r="D42" s="39">
        <f>'11.F&amp;V Crop Production details'!C111</f>
        <v>0</v>
      </c>
      <c r="E42" s="39">
        <f>'11.F&amp;V Crop Production details'!D111</f>
        <v>0</v>
      </c>
      <c r="F42" s="39">
        <f>'11.F&amp;V Crop Production details'!E111</f>
        <v>0</v>
      </c>
      <c r="G42" s="39">
        <f>'11.F&amp;V Crop Production details'!F111</f>
        <v>0</v>
      </c>
      <c r="H42" s="39">
        <f>'11.F&amp;V Crop Production details'!G111</f>
        <v>0</v>
      </c>
      <c r="I42" s="39">
        <f>'11.F&amp;V Crop Production details'!H111</f>
        <v>0</v>
      </c>
    </row>
    <row r="43" spans="1:9">
      <c r="A43" s="14" t="str">
        <f>'11.F&amp;V Crop Production details'!A112</f>
        <v>Tomato</v>
      </c>
      <c r="B43" s="38"/>
      <c r="C43" s="39">
        <f>'11.F&amp;V Crop Production details'!B112</f>
        <v>0</v>
      </c>
      <c r="D43" s="39">
        <f>'11.F&amp;V Crop Production details'!C112</f>
        <v>0</v>
      </c>
      <c r="E43" s="39">
        <f>'11.F&amp;V Crop Production details'!D112</f>
        <v>0</v>
      </c>
      <c r="F43" s="39">
        <f>'11.F&amp;V Crop Production details'!E112</f>
        <v>0</v>
      </c>
      <c r="G43" s="39">
        <f>'11.F&amp;V Crop Production details'!F112</f>
        <v>0</v>
      </c>
      <c r="H43" s="39">
        <f>'11.F&amp;V Crop Production details'!G112</f>
        <v>0</v>
      </c>
      <c r="I43" s="39">
        <f>'11.F&amp;V Crop Production details'!H112</f>
        <v>0</v>
      </c>
    </row>
    <row r="44" spans="1:9">
      <c r="A44" s="14" t="str">
        <f>'11.F&amp;V Crop Production details'!A113</f>
        <v>Okra</v>
      </c>
      <c r="B44" s="38"/>
      <c r="C44" s="39">
        <f>'11.F&amp;V Crop Production details'!B113</f>
        <v>0</v>
      </c>
      <c r="D44" s="39">
        <f>'11.F&amp;V Crop Production details'!C113</f>
        <v>0</v>
      </c>
      <c r="E44" s="39">
        <f>'11.F&amp;V Crop Production details'!D113</f>
        <v>0</v>
      </c>
      <c r="F44" s="39">
        <f>'11.F&amp;V Crop Production details'!E113</f>
        <v>0</v>
      </c>
      <c r="G44" s="39">
        <f>'11.F&amp;V Crop Production details'!F113</f>
        <v>0</v>
      </c>
      <c r="H44" s="39">
        <f>'11.F&amp;V Crop Production details'!G113</f>
        <v>0</v>
      </c>
      <c r="I44" s="39">
        <f>'11.F&amp;V Crop Production details'!H113</f>
        <v>0</v>
      </c>
    </row>
    <row r="45" spans="1:9">
      <c r="A45" s="14" t="str">
        <f>'11.F&amp;V Crop Production details'!A114</f>
        <v>Chilli</v>
      </c>
      <c r="B45" s="38"/>
      <c r="C45" s="39">
        <f>'11.F&amp;V Crop Production details'!B114</f>
        <v>0</v>
      </c>
      <c r="D45" s="39">
        <f>'11.F&amp;V Crop Production details'!C114</f>
        <v>0</v>
      </c>
      <c r="E45" s="39">
        <f>'11.F&amp;V Crop Production details'!D114</f>
        <v>0</v>
      </c>
      <c r="F45" s="39">
        <f>'11.F&amp;V Crop Production details'!E114</f>
        <v>0</v>
      </c>
      <c r="G45" s="39">
        <f>'11.F&amp;V Crop Production details'!F114</f>
        <v>0</v>
      </c>
      <c r="H45" s="39">
        <f>'11.F&amp;V Crop Production details'!G114</f>
        <v>0</v>
      </c>
      <c r="I45" s="39">
        <f>'11.F&amp;V Crop Production details'!H114</f>
        <v>0</v>
      </c>
    </row>
    <row r="46" spans="1:9">
      <c r="A46" s="14" t="str">
        <f>'11.F&amp;V Crop Production details'!A115</f>
        <v>Brinjal</v>
      </c>
      <c r="B46" s="38"/>
      <c r="C46" s="39">
        <f>'11.F&amp;V Crop Production details'!B115</f>
        <v>0</v>
      </c>
      <c r="D46" s="39">
        <f>'11.F&amp;V Crop Production details'!C115</f>
        <v>0</v>
      </c>
      <c r="E46" s="39">
        <f>'11.F&amp;V Crop Production details'!D115</f>
        <v>0</v>
      </c>
      <c r="F46" s="39">
        <f>'11.F&amp;V Crop Production details'!E115</f>
        <v>0</v>
      </c>
      <c r="G46" s="39">
        <f>'11.F&amp;V Crop Production details'!F115</f>
        <v>0</v>
      </c>
      <c r="H46" s="39">
        <f>'11.F&amp;V Crop Production details'!G115</f>
        <v>0</v>
      </c>
      <c r="I46" s="39">
        <f>'11.F&amp;V Crop Production details'!H115</f>
        <v>0</v>
      </c>
    </row>
    <row r="47" spans="1:9">
      <c r="A47" s="14" t="str">
        <f>'11.F&amp;V Crop Production details'!A116</f>
        <v>Cashew</v>
      </c>
      <c r="B47" s="38"/>
      <c r="C47" s="39">
        <f>'11.F&amp;V Crop Production details'!B116</f>
        <v>0</v>
      </c>
      <c r="D47" s="39">
        <f>'11.F&amp;V Crop Production details'!C116</f>
        <v>0</v>
      </c>
      <c r="E47" s="39">
        <f>'11.F&amp;V Crop Production details'!D116</f>
        <v>0</v>
      </c>
      <c r="F47" s="39">
        <f>'11.F&amp;V Crop Production details'!E116</f>
        <v>0</v>
      </c>
      <c r="G47" s="39">
        <f>'11.F&amp;V Crop Production details'!F116</f>
        <v>0</v>
      </c>
      <c r="H47" s="39">
        <f>'11.F&amp;V Crop Production details'!G116</f>
        <v>0</v>
      </c>
      <c r="I47" s="39">
        <f>'11.F&amp;V Crop Production details'!H116</f>
        <v>0</v>
      </c>
    </row>
    <row r="48" spans="1:9">
      <c r="A48" s="14">
        <f>'11.F&amp;V Crop Production details'!A117</f>
        <v>0</v>
      </c>
      <c r="B48" s="38"/>
      <c r="C48" s="39">
        <f>'11.F&amp;V Crop Production details'!B117</f>
        <v>0</v>
      </c>
      <c r="D48" s="39">
        <f>'11.F&amp;V Crop Production details'!C117</f>
        <v>0</v>
      </c>
      <c r="E48" s="39">
        <f>'11.F&amp;V Crop Production details'!D117</f>
        <v>0</v>
      </c>
      <c r="F48" s="39">
        <f>'11.F&amp;V Crop Production details'!E117</f>
        <v>0</v>
      </c>
      <c r="G48" s="39">
        <f>'11.F&amp;V Crop Production details'!F117</f>
        <v>0</v>
      </c>
      <c r="H48" s="39">
        <f>'11.F&amp;V Crop Production details'!G117</f>
        <v>0</v>
      </c>
      <c r="I48" s="39">
        <f>'11.F&amp;V Crop Production details'!H117</f>
        <v>0</v>
      </c>
    </row>
    <row r="49" spans="1:9">
      <c r="A49" s="14">
        <f>'11.F&amp;V Crop Production details'!A118</f>
        <v>0</v>
      </c>
      <c r="B49" s="38"/>
      <c r="C49" s="39">
        <f>'11.F&amp;V Crop Production details'!B118</f>
        <v>0</v>
      </c>
      <c r="D49" s="39">
        <f>'11.F&amp;V Crop Production details'!C118</f>
        <v>0</v>
      </c>
      <c r="E49" s="39">
        <f>'11.F&amp;V Crop Production details'!D118</f>
        <v>0</v>
      </c>
      <c r="F49" s="39">
        <f>'11.F&amp;V Crop Production details'!E118</f>
        <v>0</v>
      </c>
      <c r="G49" s="39">
        <f>'11.F&amp;V Crop Production details'!F118</f>
        <v>0</v>
      </c>
      <c r="H49" s="39">
        <f>'11.F&amp;V Crop Production details'!G118</f>
        <v>0</v>
      </c>
      <c r="I49" s="39">
        <f>'11.F&amp;V Crop Production details'!H118</f>
        <v>0</v>
      </c>
    </row>
    <row r="50" spans="1:9">
      <c r="A50" s="14">
        <f>'11.F&amp;V Crop Production details'!A119</f>
        <v>0</v>
      </c>
      <c r="B50" s="38"/>
      <c r="C50" s="39">
        <f>'11.F&amp;V Crop Production details'!B119</f>
        <v>0</v>
      </c>
      <c r="D50" s="39">
        <f>'11.F&amp;V Crop Production details'!C119</f>
        <v>0</v>
      </c>
      <c r="E50" s="39">
        <f>'11.F&amp;V Crop Production details'!D119</f>
        <v>0</v>
      </c>
      <c r="F50" s="39">
        <f>'11.F&amp;V Crop Production details'!E119</f>
        <v>0</v>
      </c>
      <c r="G50" s="39">
        <f>'11.F&amp;V Crop Production details'!F119</f>
        <v>0</v>
      </c>
      <c r="H50" s="39">
        <f>'11.F&amp;V Crop Production details'!G119</f>
        <v>0</v>
      </c>
      <c r="I50" s="39">
        <f>'11.F&amp;V Crop Production details'!H119</f>
        <v>0</v>
      </c>
    </row>
    <row r="51" spans="1:9">
      <c r="A51" s="14">
        <f>'11.F&amp;V Crop Production details'!A120</f>
        <v>0</v>
      </c>
      <c r="B51" s="38"/>
      <c r="C51" s="39">
        <f>'11.F&amp;V Crop Production details'!B120</f>
        <v>0</v>
      </c>
      <c r="D51" s="39">
        <f>'11.F&amp;V Crop Production details'!C120</f>
        <v>0</v>
      </c>
      <c r="E51" s="39">
        <f>'11.F&amp;V Crop Production details'!D120</f>
        <v>0</v>
      </c>
      <c r="F51" s="39">
        <f>'11.F&amp;V Crop Production details'!E120</f>
        <v>0</v>
      </c>
      <c r="G51" s="39">
        <f>'11.F&amp;V Crop Production details'!F120</f>
        <v>0</v>
      </c>
      <c r="H51" s="39">
        <f>'11.F&amp;V Crop Production details'!G120</f>
        <v>0</v>
      </c>
      <c r="I51" s="39">
        <f>'11.F&amp;V Crop Production details'!H120</f>
        <v>0</v>
      </c>
    </row>
    <row r="52" spans="1:9">
      <c r="A52" s="14">
        <f>'11.F&amp;V Crop Production details'!A121</f>
        <v>0</v>
      </c>
      <c r="B52" s="38"/>
      <c r="C52" s="39">
        <f>'11.F&amp;V Crop Production details'!B121</f>
        <v>0</v>
      </c>
      <c r="D52" s="39">
        <f>'11.F&amp;V Crop Production details'!C121</f>
        <v>0</v>
      </c>
      <c r="E52" s="39">
        <f>'11.F&amp;V Crop Production details'!D121</f>
        <v>0</v>
      </c>
      <c r="F52" s="39">
        <f>'11.F&amp;V Crop Production details'!E121</f>
        <v>0</v>
      </c>
      <c r="G52" s="39">
        <f>'11.F&amp;V Crop Production details'!F121</f>
        <v>0</v>
      </c>
      <c r="H52" s="39">
        <f>'11.F&amp;V Crop Production details'!G121</f>
        <v>0</v>
      </c>
      <c r="I52" s="39">
        <f>'11.F&amp;V Crop Production details'!H121</f>
        <v>0</v>
      </c>
    </row>
    <row r="53" spans="1:9">
      <c r="A53" s="14">
        <f>'11.F&amp;V Crop Production details'!A122</f>
        <v>0</v>
      </c>
      <c r="B53" s="38"/>
      <c r="C53" s="39">
        <f>'11.F&amp;V Crop Production details'!B122</f>
        <v>0</v>
      </c>
      <c r="D53" s="39">
        <f>'11.F&amp;V Crop Production details'!C122</f>
        <v>0</v>
      </c>
      <c r="E53" s="39">
        <f>'11.F&amp;V Crop Production details'!D122</f>
        <v>0</v>
      </c>
      <c r="F53" s="39">
        <f>'11.F&amp;V Crop Production details'!E122</f>
        <v>0</v>
      </c>
      <c r="G53" s="39">
        <f>'11.F&amp;V Crop Production details'!F122</f>
        <v>0</v>
      </c>
      <c r="H53" s="39">
        <f>'11.F&amp;V Crop Production details'!G122</f>
        <v>0</v>
      </c>
      <c r="I53" s="39">
        <f>'11.F&amp;V Crop Production details'!H122</f>
        <v>0</v>
      </c>
    </row>
    <row r="54" spans="1:9">
      <c r="A54" s="14" t="str">
        <f>'11.F&amp;V Crop Production details'!A123</f>
        <v>Cashew</v>
      </c>
      <c r="B54" s="38"/>
      <c r="C54" s="39">
        <f>'11.F&amp;V Crop Production details'!B123</f>
        <v>0</v>
      </c>
      <c r="D54" s="39">
        <f>'11.F&amp;V Crop Production details'!C123</f>
        <v>0</v>
      </c>
      <c r="E54" s="39">
        <f>'11.F&amp;V Crop Production details'!D123</f>
        <v>0</v>
      </c>
      <c r="F54" s="39">
        <f>'11.F&amp;V Crop Production details'!E123</f>
        <v>0</v>
      </c>
      <c r="G54" s="39">
        <f>'11.F&amp;V Crop Production details'!F123</f>
        <v>0</v>
      </c>
      <c r="H54" s="39">
        <f>'11.F&amp;V Crop Production details'!G123</f>
        <v>0</v>
      </c>
      <c r="I54" s="39">
        <f>'11.F&amp;V Crop Production details'!H123</f>
        <v>0</v>
      </c>
    </row>
    <row r="55" spans="1:9">
      <c r="A55" s="14" t="str">
        <f>'11.F&amp;V Crop Production details'!A124</f>
        <v>Custard Apple</v>
      </c>
      <c r="B55" s="38"/>
      <c r="C55" s="39">
        <f>'11.F&amp;V Crop Production details'!B124</f>
        <v>0</v>
      </c>
      <c r="D55" s="39">
        <f>'11.F&amp;V Crop Production details'!C124</f>
        <v>0</v>
      </c>
      <c r="E55" s="39">
        <f>'11.F&amp;V Crop Production details'!D124</f>
        <v>0</v>
      </c>
      <c r="F55" s="39">
        <f>'11.F&amp;V Crop Production details'!E124</f>
        <v>0</v>
      </c>
      <c r="G55" s="39">
        <f>'11.F&amp;V Crop Production details'!F124</f>
        <v>0</v>
      </c>
      <c r="H55" s="39">
        <f>'11.F&amp;V Crop Production details'!G124</f>
        <v>0</v>
      </c>
      <c r="I55" s="39">
        <f>'11.F&amp;V Crop Production details'!H124</f>
        <v>0</v>
      </c>
    </row>
    <row r="56" spans="1:9">
      <c r="A56" s="14" t="str">
        <f>'11.F&amp;V Crop Production details'!A125</f>
        <v>Guava</v>
      </c>
      <c r="B56" s="38"/>
      <c r="C56" s="39">
        <f>'11.F&amp;V Crop Production details'!B125</f>
        <v>0</v>
      </c>
      <c r="D56" s="39">
        <f>'11.F&amp;V Crop Production details'!C125</f>
        <v>0</v>
      </c>
      <c r="E56" s="39">
        <f>'11.F&amp;V Crop Production details'!D125</f>
        <v>0</v>
      </c>
      <c r="F56" s="39">
        <f>'11.F&amp;V Crop Production details'!E125</f>
        <v>0</v>
      </c>
      <c r="G56" s="39">
        <f>'11.F&amp;V Crop Production details'!F125</f>
        <v>0</v>
      </c>
      <c r="H56" s="39">
        <f>'11.F&amp;V Crop Production details'!G125</f>
        <v>0</v>
      </c>
      <c r="I56" s="39">
        <f>'11.F&amp;V Crop Production details'!H125</f>
        <v>0</v>
      </c>
    </row>
    <row r="57" spans="1:9">
      <c r="A57" s="14" t="str">
        <f>'11.F&amp;V Crop Production details'!A126</f>
        <v>Citrus</v>
      </c>
      <c r="B57" s="38"/>
      <c r="C57" s="39">
        <f>'11.F&amp;V Crop Production details'!B126</f>
        <v>0</v>
      </c>
      <c r="D57" s="39">
        <f>'11.F&amp;V Crop Production details'!C126</f>
        <v>0</v>
      </c>
      <c r="E57" s="39">
        <f>'11.F&amp;V Crop Production details'!D126</f>
        <v>0</v>
      </c>
      <c r="F57" s="39">
        <f>'11.F&amp;V Crop Production details'!E126</f>
        <v>0</v>
      </c>
      <c r="G57" s="39">
        <f>'11.F&amp;V Crop Production details'!F126</f>
        <v>0</v>
      </c>
      <c r="H57" s="39">
        <f>'11.F&amp;V Crop Production details'!G126</f>
        <v>0</v>
      </c>
      <c r="I57" s="39">
        <f>'11.F&amp;V Crop Production details'!H126</f>
        <v>0</v>
      </c>
    </row>
    <row r="58" spans="1:9">
      <c r="A58" s="14"/>
      <c r="B58" s="38"/>
      <c r="C58" s="38"/>
      <c r="D58" s="38"/>
      <c r="E58" s="38"/>
      <c r="F58" s="38"/>
      <c r="G58" s="38"/>
      <c r="H58" s="38"/>
      <c r="I58" s="38"/>
    </row>
    <row r="59" spans="1:9">
      <c r="A59" s="37" t="s">
        <v>663</v>
      </c>
      <c r="B59" s="14"/>
      <c r="C59" s="14"/>
      <c r="D59" s="14"/>
      <c r="E59" s="14"/>
      <c r="F59" s="14"/>
      <c r="G59" s="14"/>
      <c r="H59" s="14"/>
      <c r="I59" s="14"/>
    </row>
    <row r="60" spans="1:9">
      <c r="A60" s="37" t="s">
        <v>664</v>
      </c>
      <c r="B60" s="14"/>
      <c r="C60" s="14"/>
      <c r="D60" s="14"/>
      <c r="E60" s="14"/>
      <c r="F60" s="14"/>
      <c r="G60" s="14"/>
      <c r="H60" s="14"/>
      <c r="I60" s="14"/>
    </row>
    <row r="61" spans="1:9">
      <c r="A61" s="37" t="str">
        <f t="shared" ref="A61:A92" si="0">A8</f>
        <v>Kharif Crops</v>
      </c>
      <c r="B61" s="14"/>
      <c r="C61" s="14"/>
      <c r="D61" s="14"/>
      <c r="E61" s="14"/>
      <c r="F61" s="14"/>
      <c r="G61" s="14"/>
      <c r="H61" s="14"/>
      <c r="I61" s="14"/>
    </row>
    <row r="62" spans="1:9">
      <c r="A62" s="14" t="str">
        <f t="shared" si="0"/>
        <v>Soybean</v>
      </c>
      <c r="B62" s="31">
        <v>40</v>
      </c>
      <c r="C62" s="40">
        <f t="shared" ref="C62:C67" si="1">$B62*C9</f>
        <v>0</v>
      </c>
      <c r="D62" s="40">
        <f>$B62*D9</f>
        <v>0</v>
      </c>
      <c r="E62" s="40">
        <f t="shared" ref="E62:I62" si="2">$B62*E9</f>
        <v>0</v>
      </c>
      <c r="F62" s="40">
        <f t="shared" si="2"/>
        <v>0</v>
      </c>
      <c r="G62" s="40">
        <f t="shared" si="2"/>
        <v>0</v>
      </c>
      <c r="H62" s="40">
        <f t="shared" si="2"/>
        <v>0</v>
      </c>
      <c r="I62" s="40">
        <f t="shared" si="2"/>
        <v>0</v>
      </c>
    </row>
    <row r="63" spans="1:9">
      <c r="A63" s="14" t="str">
        <f t="shared" si="0"/>
        <v>Red Gram/Tur</v>
      </c>
      <c r="B63" s="31">
        <v>5</v>
      </c>
      <c r="C63" s="40">
        <f t="shared" si="1"/>
        <v>0</v>
      </c>
      <c r="D63" s="40">
        <f t="shared" ref="D63:I63" si="3">$B$63*D10</f>
        <v>0</v>
      </c>
      <c r="E63" s="40">
        <f t="shared" si="3"/>
        <v>0</v>
      </c>
      <c r="F63" s="40">
        <f t="shared" si="3"/>
        <v>0</v>
      </c>
      <c r="G63" s="40">
        <f t="shared" si="3"/>
        <v>0</v>
      </c>
      <c r="H63" s="40">
        <f t="shared" si="3"/>
        <v>0</v>
      </c>
      <c r="I63" s="40">
        <f t="shared" si="3"/>
        <v>0</v>
      </c>
    </row>
    <row r="64" spans="1:9">
      <c r="A64" s="14" t="str">
        <f t="shared" si="0"/>
        <v>Paddy/Rice</v>
      </c>
      <c r="B64" s="31">
        <v>15</v>
      </c>
      <c r="C64" s="40">
        <f t="shared" si="1"/>
        <v>0</v>
      </c>
      <c r="D64" s="40">
        <f t="shared" ref="D64:I64" si="4">$B$64*D11</f>
        <v>0</v>
      </c>
      <c r="E64" s="40">
        <f t="shared" si="4"/>
        <v>0</v>
      </c>
      <c r="F64" s="40">
        <f t="shared" si="4"/>
        <v>0</v>
      </c>
      <c r="G64" s="40">
        <f t="shared" si="4"/>
        <v>0</v>
      </c>
      <c r="H64" s="40">
        <f t="shared" si="4"/>
        <v>0</v>
      </c>
      <c r="I64" s="40">
        <f t="shared" si="4"/>
        <v>0</v>
      </c>
    </row>
    <row r="65" spans="1:9">
      <c r="A65" s="14" t="str">
        <f t="shared" si="0"/>
        <v>Green Gram/ Moong</v>
      </c>
      <c r="B65" s="31">
        <v>15</v>
      </c>
      <c r="C65" s="40">
        <f t="shared" si="1"/>
        <v>0</v>
      </c>
      <c r="D65" s="40">
        <f t="shared" ref="D65:I67" si="5">$B65*D12</f>
        <v>0</v>
      </c>
      <c r="E65" s="40">
        <f t="shared" si="5"/>
        <v>0</v>
      </c>
      <c r="F65" s="40">
        <f t="shared" si="5"/>
        <v>0</v>
      </c>
      <c r="G65" s="40">
        <f t="shared" si="5"/>
        <v>0</v>
      </c>
      <c r="H65" s="40">
        <f t="shared" si="5"/>
        <v>0</v>
      </c>
      <c r="I65" s="40">
        <f t="shared" si="5"/>
        <v>0</v>
      </c>
    </row>
    <row r="66" spans="1:9">
      <c r="A66" s="14" t="str">
        <f t="shared" si="0"/>
        <v>Maize</v>
      </c>
      <c r="B66" s="31">
        <v>25</v>
      </c>
      <c r="C66" s="40">
        <f t="shared" si="1"/>
        <v>0</v>
      </c>
      <c r="D66" s="40">
        <f t="shared" si="5"/>
        <v>0</v>
      </c>
      <c r="E66" s="40">
        <f t="shared" si="5"/>
        <v>0</v>
      </c>
      <c r="F66" s="40">
        <f t="shared" si="5"/>
        <v>0</v>
      </c>
      <c r="G66" s="40">
        <f t="shared" si="5"/>
        <v>0</v>
      </c>
      <c r="H66" s="40">
        <f t="shared" si="5"/>
        <v>0</v>
      </c>
      <c r="I66" s="40">
        <f t="shared" si="5"/>
        <v>0</v>
      </c>
    </row>
    <row r="67" spans="1:9">
      <c r="A67" s="14" t="str">
        <f t="shared" si="0"/>
        <v>Black Gram/Udid</v>
      </c>
      <c r="B67" s="31">
        <v>15</v>
      </c>
      <c r="C67" s="40">
        <f t="shared" si="1"/>
        <v>0</v>
      </c>
      <c r="D67" s="40">
        <f t="shared" si="5"/>
        <v>0</v>
      </c>
      <c r="E67" s="40">
        <f t="shared" si="5"/>
        <v>0</v>
      </c>
      <c r="F67" s="40">
        <f t="shared" si="5"/>
        <v>0</v>
      </c>
      <c r="G67" s="40">
        <f t="shared" si="5"/>
        <v>0</v>
      </c>
      <c r="H67" s="40">
        <f t="shared" si="5"/>
        <v>0</v>
      </c>
      <c r="I67" s="40">
        <f t="shared" si="5"/>
        <v>0</v>
      </c>
    </row>
    <row r="68" spans="1:9">
      <c r="A68" s="14" t="str">
        <f t="shared" si="0"/>
        <v>Bajra</v>
      </c>
      <c r="B68" s="31">
        <v>5</v>
      </c>
      <c r="C68" s="40">
        <f t="shared" ref="C68:I68" si="6">$B68*C15</f>
        <v>0</v>
      </c>
      <c r="D68" s="40">
        <f t="shared" si="6"/>
        <v>0</v>
      </c>
      <c r="E68" s="40">
        <f t="shared" si="6"/>
        <v>0</v>
      </c>
      <c r="F68" s="40">
        <f t="shared" si="6"/>
        <v>0</v>
      </c>
      <c r="G68" s="40">
        <f t="shared" si="6"/>
        <v>0</v>
      </c>
      <c r="H68" s="40">
        <f t="shared" si="6"/>
        <v>0</v>
      </c>
      <c r="I68" s="40">
        <f t="shared" si="6"/>
        <v>0</v>
      </c>
    </row>
    <row r="69" spans="1:9">
      <c r="A69" s="14" t="str">
        <f t="shared" si="0"/>
        <v>Jawar</v>
      </c>
      <c r="B69" s="31">
        <v>5</v>
      </c>
      <c r="C69" s="40">
        <f t="shared" ref="C69:I69" si="7">$B69*C16</f>
        <v>0</v>
      </c>
      <c r="D69" s="40">
        <f t="shared" si="7"/>
        <v>0</v>
      </c>
      <c r="E69" s="40">
        <f t="shared" si="7"/>
        <v>0</v>
      </c>
      <c r="F69" s="40">
        <f t="shared" si="7"/>
        <v>0</v>
      </c>
      <c r="G69" s="40">
        <f t="shared" si="7"/>
        <v>0</v>
      </c>
      <c r="H69" s="40">
        <f t="shared" si="7"/>
        <v>0</v>
      </c>
      <c r="I69" s="40">
        <f t="shared" si="7"/>
        <v>0</v>
      </c>
    </row>
    <row r="70" spans="1:9">
      <c r="A70" s="37" t="str">
        <f t="shared" si="0"/>
        <v>Rabi Crop</v>
      </c>
      <c r="B70" s="31"/>
      <c r="C70" s="40"/>
      <c r="D70" s="40"/>
      <c r="E70" s="40"/>
      <c r="F70" s="40"/>
      <c r="G70" s="40"/>
      <c r="H70" s="40"/>
      <c r="I70" s="40"/>
    </row>
    <row r="71" spans="1:9">
      <c r="A71" s="14" t="str">
        <f t="shared" si="0"/>
        <v>Wheat</v>
      </c>
      <c r="B71" s="31">
        <v>20</v>
      </c>
      <c r="C71" s="40">
        <f t="shared" ref="C71:I71" si="8">$B71*C18</f>
        <v>0</v>
      </c>
      <c r="D71" s="40">
        <f t="shared" si="8"/>
        <v>0</v>
      </c>
      <c r="E71" s="40">
        <f t="shared" si="8"/>
        <v>0</v>
      </c>
      <c r="F71" s="40">
        <f t="shared" si="8"/>
        <v>0</v>
      </c>
      <c r="G71" s="40">
        <f t="shared" si="8"/>
        <v>0</v>
      </c>
      <c r="H71" s="40">
        <f t="shared" si="8"/>
        <v>0</v>
      </c>
      <c r="I71" s="40">
        <f t="shared" si="8"/>
        <v>0</v>
      </c>
    </row>
    <row r="72" spans="1:9">
      <c r="A72" s="14" t="str">
        <f t="shared" si="0"/>
        <v>Bengal Gram/Channa</v>
      </c>
      <c r="B72" s="31">
        <v>25</v>
      </c>
      <c r="C72" s="40">
        <f t="shared" ref="C72:I72" si="9">$B72*C19</f>
        <v>0</v>
      </c>
      <c r="D72" s="40">
        <f t="shared" si="9"/>
        <v>0</v>
      </c>
      <c r="E72" s="40">
        <f t="shared" si="9"/>
        <v>0</v>
      </c>
      <c r="F72" s="40">
        <f t="shared" si="9"/>
        <v>0</v>
      </c>
      <c r="G72" s="40">
        <f t="shared" si="9"/>
        <v>0</v>
      </c>
      <c r="H72" s="40">
        <f t="shared" si="9"/>
        <v>0</v>
      </c>
      <c r="I72" s="40">
        <f t="shared" si="9"/>
        <v>0</v>
      </c>
    </row>
    <row r="73" spans="1:9">
      <c r="A73" s="14" t="str">
        <f t="shared" si="0"/>
        <v>Jawar</v>
      </c>
      <c r="B73" s="31">
        <v>5</v>
      </c>
      <c r="C73" s="40">
        <f t="shared" ref="C73:I73" si="10">$B73*C20</f>
        <v>0</v>
      </c>
      <c r="D73" s="40">
        <f t="shared" si="10"/>
        <v>0</v>
      </c>
      <c r="E73" s="40">
        <f t="shared" si="10"/>
        <v>0</v>
      </c>
      <c r="F73" s="40">
        <f t="shared" si="10"/>
        <v>0</v>
      </c>
      <c r="G73" s="40">
        <f t="shared" si="10"/>
        <v>0</v>
      </c>
      <c r="H73" s="40">
        <f t="shared" si="10"/>
        <v>0</v>
      </c>
      <c r="I73" s="40">
        <f t="shared" si="10"/>
        <v>0</v>
      </c>
    </row>
    <row r="74" spans="1:9">
      <c r="A74" s="14" t="str">
        <f t="shared" si="0"/>
        <v>Maize</v>
      </c>
      <c r="B74" s="31">
        <v>20</v>
      </c>
      <c r="C74" s="40">
        <f t="shared" ref="C74:I74" si="11">$B74*C21</f>
        <v>0</v>
      </c>
      <c r="D74" s="40">
        <f t="shared" si="11"/>
        <v>0</v>
      </c>
      <c r="E74" s="40">
        <f t="shared" si="11"/>
        <v>0</v>
      </c>
      <c r="F74" s="40">
        <f t="shared" si="11"/>
        <v>0</v>
      </c>
      <c r="G74" s="40">
        <f t="shared" si="11"/>
        <v>0</v>
      </c>
      <c r="H74" s="40">
        <f t="shared" si="11"/>
        <v>0</v>
      </c>
      <c r="I74" s="40">
        <f t="shared" si="11"/>
        <v>0</v>
      </c>
    </row>
    <row r="75" spans="1:9">
      <c r="A75" s="14" t="str">
        <f t="shared" si="0"/>
        <v>Safflower</v>
      </c>
      <c r="B75" s="31"/>
      <c r="C75" s="40">
        <f t="shared" ref="C75:I75" si="12">$B75*C22</f>
        <v>0</v>
      </c>
      <c r="D75" s="40">
        <f t="shared" si="12"/>
        <v>0</v>
      </c>
      <c r="E75" s="40">
        <f t="shared" si="12"/>
        <v>0</v>
      </c>
      <c r="F75" s="40">
        <f t="shared" si="12"/>
        <v>0</v>
      </c>
      <c r="G75" s="40">
        <f t="shared" si="12"/>
        <v>0</v>
      </c>
      <c r="H75" s="40">
        <f t="shared" si="12"/>
        <v>0</v>
      </c>
      <c r="I75" s="40">
        <f t="shared" si="12"/>
        <v>0</v>
      </c>
    </row>
    <row r="76" spans="1:9">
      <c r="A76" s="14">
        <f t="shared" si="0"/>
        <v>0</v>
      </c>
      <c r="B76" s="31"/>
      <c r="C76" s="40">
        <f t="shared" ref="C76:I76" si="13">$B76*C23</f>
        <v>0</v>
      </c>
      <c r="D76" s="40">
        <f t="shared" si="13"/>
        <v>0</v>
      </c>
      <c r="E76" s="40">
        <f t="shared" si="13"/>
        <v>0</v>
      </c>
      <c r="F76" s="40">
        <f t="shared" si="13"/>
        <v>0</v>
      </c>
      <c r="G76" s="40">
        <f t="shared" si="13"/>
        <v>0</v>
      </c>
      <c r="H76" s="40">
        <f t="shared" si="13"/>
        <v>0</v>
      </c>
      <c r="I76" s="40">
        <f t="shared" si="13"/>
        <v>0</v>
      </c>
    </row>
    <row r="77" spans="1:9">
      <c r="A77" s="14">
        <f t="shared" si="0"/>
        <v>0</v>
      </c>
      <c r="B77" s="31"/>
      <c r="C77" s="40">
        <f t="shared" ref="C77:I77" si="14">$B77*C24</f>
        <v>0</v>
      </c>
      <c r="D77" s="40">
        <f t="shared" si="14"/>
        <v>0</v>
      </c>
      <c r="E77" s="40">
        <f t="shared" si="14"/>
        <v>0</v>
      </c>
      <c r="F77" s="40">
        <f t="shared" si="14"/>
        <v>0</v>
      </c>
      <c r="G77" s="40">
        <f t="shared" si="14"/>
        <v>0</v>
      </c>
      <c r="H77" s="40">
        <f t="shared" si="14"/>
        <v>0</v>
      </c>
      <c r="I77" s="40">
        <f t="shared" si="14"/>
        <v>0</v>
      </c>
    </row>
    <row r="78" spans="1:9">
      <c r="A78" s="14">
        <f t="shared" si="0"/>
        <v>0</v>
      </c>
      <c r="B78" s="31"/>
      <c r="C78" s="40">
        <f t="shared" ref="C78:I78" si="15">$B78*C25</f>
        <v>0</v>
      </c>
      <c r="D78" s="40">
        <f t="shared" si="15"/>
        <v>0</v>
      </c>
      <c r="E78" s="40">
        <f t="shared" si="15"/>
        <v>0</v>
      </c>
      <c r="F78" s="40">
        <f t="shared" si="15"/>
        <v>0</v>
      </c>
      <c r="G78" s="40">
        <f t="shared" si="15"/>
        <v>0</v>
      </c>
      <c r="H78" s="40">
        <f t="shared" si="15"/>
        <v>0</v>
      </c>
      <c r="I78" s="40">
        <f t="shared" si="15"/>
        <v>0</v>
      </c>
    </row>
    <row r="79" spans="1:9">
      <c r="A79" s="37" t="str">
        <f t="shared" si="0"/>
        <v>Summer</v>
      </c>
      <c r="B79" s="31"/>
      <c r="C79" s="40"/>
      <c r="D79" s="40"/>
      <c r="E79" s="40"/>
      <c r="F79" s="40"/>
      <c r="G79" s="40"/>
      <c r="H79" s="40"/>
      <c r="I79" s="40"/>
    </row>
    <row r="80" spans="1:9">
      <c r="A80" s="14" t="str">
        <f t="shared" si="0"/>
        <v>Groundnut</v>
      </c>
      <c r="B80" s="31"/>
      <c r="C80" s="40">
        <f t="shared" ref="C80:I80" si="16">$B80*C27</f>
        <v>0</v>
      </c>
      <c r="D80" s="40">
        <f t="shared" si="16"/>
        <v>0</v>
      </c>
      <c r="E80" s="40">
        <f t="shared" si="16"/>
        <v>0</v>
      </c>
      <c r="F80" s="40">
        <f t="shared" si="16"/>
        <v>0</v>
      </c>
      <c r="G80" s="40">
        <f t="shared" si="16"/>
        <v>0</v>
      </c>
      <c r="H80" s="40">
        <f t="shared" si="16"/>
        <v>0</v>
      </c>
      <c r="I80" s="40">
        <f t="shared" si="16"/>
        <v>0</v>
      </c>
    </row>
    <row r="81" spans="1:9">
      <c r="A81" s="14">
        <f t="shared" si="0"/>
        <v>0</v>
      </c>
      <c r="B81" s="31"/>
      <c r="C81" s="40">
        <f t="shared" ref="C81:I81" si="17">$B81*C28</f>
        <v>0</v>
      </c>
      <c r="D81" s="40">
        <f t="shared" si="17"/>
        <v>0</v>
      </c>
      <c r="E81" s="40">
        <f t="shared" si="17"/>
        <v>0</v>
      </c>
      <c r="F81" s="40">
        <f t="shared" si="17"/>
        <v>0</v>
      </c>
      <c r="G81" s="40">
        <f t="shared" si="17"/>
        <v>0</v>
      </c>
      <c r="H81" s="40">
        <f t="shared" si="17"/>
        <v>0</v>
      </c>
      <c r="I81" s="40">
        <f t="shared" si="17"/>
        <v>0</v>
      </c>
    </row>
    <row r="82" spans="1:9">
      <c r="A82" s="14">
        <f t="shared" si="0"/>
        <v>0</v>
      </c>
      <c r="B82" s="31"/>
      <c r="C82" s="40">
        <f t="shared" ref="C82:I82" si="18">$B82*C29</f>
        <v>0</v>
      </c>
      <c r="D82" s="40">
        <f t="shared" si="18"/>
        <v>0</v>
      </c>
      <c r="E82" s="40">
        <f t="shared" si="18"/>
        <v>0</v>
      </c>
      <c r="F82" s="40">
        <f t="shared" si="18"/>
        <v>0</v>
      </c>
      <c r="G82" s="40">
        <f t="shared" si="18"/>
        <v>0</v>
      </c>
      <c r="H82" s="40">
        <f t="shared" si="18"/>
        <v>0</v>
      </c>
      <c r="I82" s="40">
        <f t="shared" si="18"/>
        <v>0</v>
      </c>
    </row>
    <row r="83" spans="1:9">
      <c r="A83" s="14">
        <f t="shared" si="0"/>
        <v>0</v>
      </c>
      <c r="B83" s="31"/>
      <c r="C83" s="40">
        <f t="shared" ref="C83:I83" si="19">$B83*C30</f>
        <v>0</v>
      </c>
      <c r="D83" s="40">
        <f t="shared" si="19"/>
        <v>0</v>
      </c>
      <c r="E83" s="40">
        <f t="shared" si="19"/>
        <v>0</v>
      </c>
      <c r="F83" s="40">
        <f t="shared" si="19"/>
        <v>0</v>
      </c>
      <c r="G83" s="40">
        <f t="shared" si="19"/>
        <v>0</v>
      </c>
      <c r="H83" s="40">
        <f t="shared" si="19"/>
        <v>0</v>
      </c>
      <c r="I83" s="40">
        <f t="shared" si="19"/>
        <v>0</v>
      </c>
    </row>
    <row r="84" spans="1:9">
      <c r="A84" s="14">
        <f t="shared" si="0"/>
        <v>0</v>
      </c>
      <c r="B84" s="31"/>
      <c r="C84" s="40">
        <f t="shared" ref="C84:I84" si="20">$B84*C31</f>
        <v>0</v>
      </c>
      <c r="D84" s="40">
        <f t="shared" si="20"/>
        <v>0</v>
      </c>
      <c r="E84" s="40">
        <f t="shared" si="20"/>
        <v>0</v>
      </c>
      <c r="F84" s="40">
        <f t="shared" si="20"/>
        <v>0</v>
      </c>
      <c r="G84" s="40">
        <f t="shared" si="20"/>
        <v>0</v>
      </c>
      <c r="H84" s="40">
        <f t="shared" si="20"/>
        <v>0</v>
      </c>
      <c r="I84" s="40">
        <f t="shared" si="20"/>
        <v>0</v>
      </c>
    </row>
    <row r="85" spans="1:9">
      <c r="A85" s="37" t="str">
        <f t="shared" si="0"/>
        <v>Fruit  &amp; Vegetables Crop Production Details</v>
      </c>
      <c r="B85" s="31"/>
      <c r="C85" s="40"/>
      <c r="D85" s="40"/>
      <c r="E85" s="40"/>
      <c r="F85" s="40"/>
      <c r="G85" s="40"/>
      <c r="H85" s="40"/>
      <c r="I85" s="40"/>
    </row>
    <row r="86" spans="1:9">
      <c r="A86" s="14" t="str">
        <f t="shared" si="0"/>
        <v>Onion</v>
      </c>
      <c r="B86" s="31"/>
      <c r="C86" s="40">
        <f t="shared" ref="C86:I86" si="21">$B86*C33</f>
        <v>0</v>
      </c>
      <c r="D86" s="40">
        <f t="shared" si="21"/>
        <v>0</v>
      </c>
      <c r="E86" s="40">
        <f t="shared" si="21"/>
        <v>0</v>
      </c>
      <c r="F86" s="40">
        <f t="shared" si="21"/>
        <v>0</v>
      </c>
      <c r="G86" s="40">
        <f t="shared" si="21"/>
        <v>0</v>
      </c>
      <c r="H86" s="40">
        <f t="shared" si="21"/>
        <v>0</v>
      </c>
      <c r="I86" s="40">
        <f t="shared" si="21"/>
        <v>0</v>
      </c>
    </row>
    <row r="87" spans="1:9">
      <c r="A87" s="14" t="str">
        <f t="shared" si="0"/>
        <v>Tomato</v>
      </c>
      <c r="B87" s="31"/>
      <c r="C87" s="40">
        <f t="shared" ref="C87:I87" si="22">$B87*C34</f>
        <v>0</v>
      </c>
      <c r="D87" s="40">
        <f t="shared" si="22"/>
        <v>0</v>
      </c>
      <c r="E87" s="40">
        <f t="shared" si="22"/>
        <v>0</v>
      </c>
      <c r="F87" s="40">
        <f t="shared" si="22"/>
        <v>0</v>
      </c>
      <c r="G87" s="40">
        <f t="shared" si="22"/>
        <v>0</v>
      </c>
      <c r="H87" s="40">
        <f t="shared" si="22"/>
        <v>0</v>
      </c>
      <c r="I87" s="40">
        <f t="shared" si="22"/>
        <v>0</v>
      </c>
    </row>
    <row r="88" spans="1:9">
      <c r="A88" s="14" t="str">
        <f t="shared" si="0"/>
        <v>Okra</v>
      </c>
      <c r="B88" s="31"/>
      <c r="C88" s="40">
        <f t="shared" ref="C88:I88" si="23">$B88*C35</f>
        <v>0</v>
      </c>
      <c r="D88" s="40">
        <f t="shared" si="23"/>
        <v>0</v>
      </c>
      <c r="E88" s="40">
        <f t="shared" si="23"/>
        <v>0</v>
      </c>
      <c r="F88" s="40">
        <f t="shared" si="23"/>
        <v>0</v>
      </c>
      <c r="G88" s="40">
        <f t="shared" si="23"/>
        <v>0</v>
      </c>
      <c r="H88" s="40">
        <f t="shared" si="23"/>
        <v>0</v>
      </c>
      <c r="I88" s="40">
        <f t="shared" si="23"/>
        <v>0</v>
      </c>
    </row>
    <row r="89" spans="1:9">
      <c r="A89" s="14" t="str">
        <f t="shared" si="0"/>
        <v>Chilli</v>
      </c>
      <c r="B89" s="31"/>
      <c r="C89" s="40">
        <f t="shared" ref="C89:I89" si="24">$B89*C36</f>
        <v>0</v>
      </c>
      <c r="D89" s="40">
        <f t="shared" si="24"/>
        <v>0</v>
      </c>
      <c r="E89" s="40">
        <f t="shared" si="24"/>
        <v>0</v>
      </c>
      <c r="F89" s="40">
        <f t="shared" si="24"/>
        <v>0</v>
      </c>
      <c r="G89" s="40">
        <f t="shared" si="24"/>
        <v>0</v>
      </c>
      <c r="H89" s="40">
        <f t="shared" si="24"/>
        <v>0</v>
      </c>
      <c r="I89" s="40">
        <f t="shared" si="24"/>
        <v>0</v>
      </c>
    </row>
    <row r="90" spans="1:9">
      <c r="A90" s="14" t="str">
        <f t="shared" si="0"/>
        <v>Potato</v>
      </c>
      <c r="B90" s="31"/>
      <c r="C90" s="40">
        <f t="shared" ref="C90:I90" si="25">$B90*C37</f>
        <v>0</v>
      </c>
      <c r="D90" s="40">
        <f t="shared" si="25"/>
        <v>0</v>
      </c>
      <c r="E90" s="40">
        <f t="shared" si="25"/>
        <v>0</v>
      </c>
      <c r="F90" s="40">
        <f t="shared" si="25"/>
        <v>0</v>
      </c>
      <c r="G90" s="40">
        <f t="shared" si="25"/>
        <v>0</v>
      </c>
      <c r="H90" s="40">
        <f t="shared" si="25"/>
        <v>0</v>
      </c>
      <c r="I90" s="40">
        <f t="shared" si="25"/>
        <v>0</v>
      </c>
    </row>
    <row r="91" spans="1:9">
      <c r="A91" s="14">
        <f t="shared" si="0"/>
        <v>0</v>
      </c>
      <c r="B91" s="31"/>
      <c r="C91" s="40">
        <f t="shared" ref="C91:I91" si="26">$B91*C38</f>
        <v>0</v>
      </c>
      <c r="D91" s="40">
        <f t="shared" si="26"/>
        <v>0</v>
      </c>
      <c r="E91" s="40">
        <f t="shared" si="26"/>
        <v>0</v>
      </c>
      <c r="F91" s="40">
        <f t="shared" si="26"/>
        <v>0</v>
      </c>
      <c r="G91" s="40">
        <f t="shared" si="26"/>
        <v>0</v>
      </c>
      <c r="H91" s="40">
        <f t="shared" si="26"/>
        <v>0</v>
      </c>
      <c r="I91" s="40">
        <f t="shared" si="26"/>
        <v>0</v>
      </c>
    </row>
    <row r="92" spans="1:9">
      <c r="A92" s="14">
        <f t="shared" si="0"/>
        <v>0</v>
      </c>
      <c r="B92" s="31"/>
      <c r="C92" s="40">
        <f t="shared" ref="C92:I92" si="27">$B92*C39</f>
        <v>0</v>
      </c>
      <c r="D92" s="40">
        <f t="shared" si="27"/>
        <v>0</v>
      </c>
      <c r="E92" s="40">
        <f t="shared" si="27"/>
        <v>0</v>
      </c>
      <c r="F92" s="40">
        <f t="shared" si="27"/>
        <v>0</v>
      </c>
      <c r="G92" s="40">
        <f t="shared" si="27"/>
        <v>0</v>
      </c>
      <c r="H92" s="40">
        <f t="shared" si="27"/>
        <v>0</v>
      </c>
      <c r="I92" s="40">
        <f t="shared" si="27"/>
        <v>0</v>
      </c>
    </row>
    <row r="93" spans="1:9">
      <c r="A93" s="14">
        <f t="shared" ref="A93:A110" si="28">A40</f>
        <v>0</v>
      </c>
      <c r="B93" s="31"/>
      <c r="C93" s="40">
        <f t="shared" ref="C93:I93" si="29">$B93*C40</f>
        <v>0</v>
      </c>
      <c r="D93" s="40">
        <f t="shared" si="29"/>
        <v>0</v>
      </c>
      <c r="E93" s="40">
        <f t="shared" si="29"/>
        <v>0</v>
      </c>
      <c r="F93" s="40">
        <f t="shared" si="29"/>
        <v>0</v>
      </c>
      <c r="G93" s="40">
        <f t="shared" si="29"/>
        <v>0</v>
      </c>
      <c r="H93" s="40">
        <f t="shared" si="29"/>
        <v>0</v>
      </c>
      <c r="I93" s="40">
        <f t="shared" si="29"/>
        <v>0</v>
      </c>
    </row>
    <row r="94" spans="1:9">
      <c r="A94" s="14">
        <f t="shared" si="28"/>
        <v>0</v>
      </c>
      <c r="B94" s="31"/>
      <c r="C94" s="40">
        <f t="shared" ref="C94:I94" si="30">$B94*C41</f>
        <v>0</v>
      </c>
      <c r="D94" s="40">
        <f t="shared" si="30"/>
        <v>0</v>
      </c>
      <c r="E94" s="40">
        <f t="shared" si="30"/>
        <v>0</v>
      </c>
      <c r="F94" s="40">
        <f t="shared" si="30"/>
        <v>0</v>
      </c>
      <c r="G94" s="40">
        <f t="shared" si="30"/>
        <v>0</v>
      </c>
      <c r="H94" s="40">
        <f t="shared" si="30"/>
        <v>0</v>
      </c>
      <c r="I94" s="40">
        <f t="shared" si="30"/>
        <v>0</v>
      </c>
    </row>
    <row r="95" spans="1:9">
      <c r="A95" s="14" t="str">
        <f t="shared" si="28"/>
        <v>Onion</v>
      </c>
      <c r="B95" s="31"/>
      <c r="C95" s="40">
        <f t="shared" ref="C95:I95" si="31">$B95*C42</f>
        <v>0</v>
      </c>
      <c r="D95" s="40">
        <f t="shared" si="31"/>
        <v>0</v>
      </c>
      <c r="E95" s="40">
        <f t="shared" si="31"/>
        <v>0</v>
      </c>
      <c r="F95" s="40">
        <f t="shared" si="31"/>
        <v>0</v>
      </c>
      <c r="G95" s="40">
        <f t="shared" si="31"/>
        <v>0</v>
      </c>
      <c r="H95" s="40">
        <f t="shared" si="31"/>
        <v>0</v>
      </c>
      <c r="I95" s="40">
        <f t="shared" si="31"/>
        <v>0</v>
      </c>
    </row>
    <row r="96" spans="1:9">
      <c r="A96" s="14" t="str">
        <f t="shared" si="28"/>
        <v>Tomato</v>
      </c>
      <c r="B96" s="31"/>
      <c r="C96" s="40">
        <f t="shared" ref="C96:I96" si="32">$B96*C43</f>
        <v>0</v>
      </c>
      <c r="D96" s="40">
        <f t="shared" si="32"/>
        <v>0</v>
      </c>
      <c r="E96" s="40">
        <f t="shared" si="32"/>
        <v>0</v>
      </c>
      <c r="F96" s="40">
        <f t="shared" si="32"/>
        <v>0</v>
      </c>
      <c r="G96" s="40">
        <f t="shared" si="32"/>
        <v>0</v>
      </c>
      <c r="H96" s="40">
        <f t="shared" si="32"/>
        <v>0</v>
      </c>
      <c r="I96" s="40">
        <f t="shared" si="32"/>
        <v>0</v>
      </c>
    </row>
    <row r="97" spans="1:9">
      <c r="A97" s="14" t="str">
        <f t="shared" si="28"/>
        <v>Okra</v>
      </c>
      <c r="B97" s="31"/>
      <c r="C97" s="40">
        <f t="shared" ref="C97:I97" si="33">$B97*C44</f>
        <v>0</v>
      </c>
      <c r="D97" s="40">
        <f t="shared" si="33"/>
        <v>0</v>
      </c>
      <c r="E97" s="40">
        <f t="shared" si="33"/>
        <v>0</v>
      </c>
      <c r="F97" s="40">
        <f t="shared" si="33"/>
        <v>0</v>
      </c>
      <c r="G97" s="40">
        <f t="shared" si="33"/>
        <v>0</v>
      </c>
      <c r="H97" s="40">
        <f t="shared" si="33"/>
        <v>0</v>
      </c>
      <c r="I97" s="40">
        <f t="shared" si="33"/>
        <v>0</v>
      </c>
    </row>
    <row r="98" spans="1:9">
      <c r="A98" s="14" t="str">
        <f t="shared" si="28"/>
        <v>Chilli</v>
      </c>
      <c r="B98" s="31"/>
      <c r="C98" s="40">
        <f t="shared" ref="C98:I98" si="34">$B98*C45</f>
        <v>0</v>
      </c>
      <c r="D98" s="40">
        <f t="shared" si="34"/>
        <v>0</v>
      </c>
      <c r="E98" s="40">
        <f t="shared" si="34"/>
        <v>0</v>
      </c>
      <c r="F98" s="40">
        <f t="shared" si="34"/>
        <v>0</v>
      </c>
      <c r="G98" s="40">
        <f t="shared" si="34"/>
        <v>0</v>
      </c>
      <c r="H98" s="40">
        <f t="shared" si="34"/>
        <v>0</v>
      </c>
      <c r="I98" s="40">
        <f t="shared" si="34"/>
        <v>0</v>
      </c>
    </row>
    <row r="99" spans="1:9">
      <c r="A99" s="14" t="str">
        <f t="shared" si="28"/>
        <v>Brinjal</v>
      </c>
      <c r="B99" s="31"/>
      <c r="C99" s="40">
        <f t="shared" ref="C99:I99" si="35">$B99*C46</f>
        <v>0</v>
      </c>
      <c r="D99" s="40">
        <f t="shared" si="35"/>
        <v>0</v>
      </c>
      <c r="E99" s="40">
        <f t="shared" si="35"/>
        <v>0</v>
      </c>
      <c r="F99" s="40">
        <f t="shared" si="35"/>
        <v>0</v>
      </c>
      <c r="G99" s="40">
        <f t="shared" si="35"/>
        <v>0</v>
      </c>
      <c r="H99" s="40">
        <f t="shared" si="35"/>
        <v>0</v>
      </c>
      <c r="I99" s="40">
        <f t="shared" si="35"/>
        <v>0</v>
      </c>
    </row>
    <row r="100" spans="1:9">
      <c r="A100" s="14" t="str">
        <f t="shared" si="28"/>
        <v>Cashew</v>
      </c>
      <c r="B100" s="31"/>
      <c r="C100" s="40">
        <f t="shared" ref="C100:I100" si="36">$B100*C47</f>
        <v>0</v>
      </c>
      <c r="D100" s="40">
        <f t="shared" si="36"/>
        <v>0</v>
      </c>
      <c r="E100" s="40">
        <f t="shared" si="36"/>
        <v>0</v>
      </c>
      <c r="F100" s="40">
        <f t="shared" si="36"/>
        <v>0</v>
      </c>
      <c r="G100" s="40">
        <f t="shared" si="36"/>
        <v>0</v>
      </c>
      <c r="H100" s="40">
        <f t="shared" si="36"/>
        <v>0</v>
      </c>
      <c r="I100" s="40">
        <f t="shared" si="36"/>
        <v>0</v>
      </c>
    </row>
    <row r="101" spans="1:9">
      <c r="A101" s="14">
        <f t="shared" si="28"/>
        <v>0</v>
      </c>
      <c r="B101" s="31"/>
      <c r="C101" s="40">
        <f t="shared" ref="C101:I101" si="37">$B101*C48</f>
        <v>0</v>
      </c>
      <c r="D101" s="40">
        <f t="shared" si="37"/>
        <v>0</v>
      </c>
      <c r="E101" s="40">
        <f t="shared" si="37"/>
        <v>0</v>
      </c>
      <c r="F101" s="40">
        <f t="shared" si="37"/>
        <v>0</v>
      </c>
      <c r="G101" s="40">
        <f t="shared" si="37"/>
        <v>0</v>
      </c>
      <c r="H101" s="40">
        <f t="shared" si="37"/>
        <v>0</v>
      </c>
      <c r="I101" s="40">
        <f t="shared" si="37"/>
        <v>0</v>
      </c>
    </row>
    <row r="102" spans="1:9">
      <c r="A102" s="14">
        <f t="shared" si="28"/>
        <v>0</v>
      </c>
      <c r="B102" s="31"/>
      <c r="C102" s="40">
        <f t="shared" ref="C102:I102" si="38">$B102*C49</f>
        <v>0</v>
      </c>
      <c r="D102" s="40">
        <f t="shared" si="38"/>
        <v>0</v>
      </c>
      <c r="E102" s="40">
        <f t="shared" si="38"/>
        <v>0</v>
      </c>
      <c r="F102" s="40">
        <f t="shared" si="38"/>
        <v>0</v>
      </c>
      <c r="G102" s="40">
        <f t="shared" si="38"/>
        <v>0</v>
      </c>
      <c r="H102" s="40">
        <f t="shared" si="38"/>
        <v>0</v>
      </c>
      <c r="I102" s="40">
        <f t="shared" si="38"/>
        <v>0</v>
      </c>
    </row>
    <row r="103" spans="1:9">
      <c r="A103" s="14">
        <f t="shared" si="28"/>
        <v>0</v>
      </c>
      <c r="B103" s="31"/>
      <c r="C103" s="40">
        <f t="shared" ref="C103:I103" si="39">$B103*C50</f>
        <v>0</v>
      </c>
      <c r="D103" s="40">
        <f t="shared" si="39"/>
        <v>0</v>
      </c>
      <c r="E103" s="40">
        <f t="shared" si="39"/>
        <v>0</v>
      </c>
      <c r="F103" s="40">
        <f t="shared" si="39"/>
        <v>0</v>
      </c>
      <c r="G103" s="40">
        <f t="shared" si="39"/>
        <v>0</v>
      </c>
      <c r="H103" s="40">
        <f t="shared" si="39"/>
        <v>0</v>
      </c>
      <c r="I103" s="40">
        <f t="shared" si="39"/>
        <v>0</v>
      </c>
    </row>
    <row r="104" spans="1:9">
      <c r="A104" s="14">
        <f t="shared" si="28"/>
        <v>0</v>
      </c>
      <c r="B104" s="31"/>
      <c r="C104" s="40">
        <f t="shared" ref="C104:I104" si="40">$B104*C51</f>
        <v>0</v>
      </c>
      <c r="D104" s="40">
        <f t="shared" si="40"/>
        <v>0</v>
      </c>
      <c r="E104" s="40">
        <f t="shared" si="40"/>
        <v>0</v>
      </c>
      <c r="F104" s="40">
        <f t="shared" si="40"/>
        <v>0</v>
      </c>
      <c r="G104" s="40">
        <f t="shared" si="40"/>
        <v>0</v>
      </c>
      <c r="H104" s="40">
        <f t="shared" si="40"/>
        <v>0</v>
      </c>
      <c r="I104" s="40">
        <f t="shared" si="40"/>
        <v>0</v>
      </c>
    </row>
    <row r="105" spans="1:9">
      <c r="A105" s="14">
        <f t="shared" si="28"/>
        <v>0</v>
      </c>
      <c r="B105" s="31"/>
      <c r="C105" s="40">
        <f t="shared" ref="C105:I105" si="41">$B105*C52</f>
        <v>0</v>
      </c>
      <c r="D105" s="40">
        <f t="shared" si="41"/>
        <v>0</v>
      </c>
      <c r="E105" s="40">
        <f t="shared" si="41"/>
        <v>0</v>
      </c>
      <c r="F105" s="40">
        <f t="shared" si="41"/>
        <v>0</v>
      </c>
      <c r="G105" s="40">
        <f t="shared" si="41"/>
        <v>0</v>
      </c>
      <c r="H105" s="40">
        <f t="shared" si="41"/>
        <v>0</v>
      </c>
      <c r="I105" s="40">
        <f t="shared" si="41"/>
        <v>0</v>
      </c>
    </row>
    <row r="106" spans="1:9">
      <c r="A106" s="14">
        <f t="shared" si="28"/>
        <v>0</v>
      </c>
      <c r="B106" s="31"/>
      <c r="C106" s="40">
        <f t="shared" ref="C106:I106" si="42">$B106*C53</f>
        <v>0</v>
      </c>
      <c r="D106" s="40">
        <f t="shared" si="42"/>
        <v>0</v>
      </c>
      <c r="E106" s="40">
        <f t="shared" si="42"/>
        <v>0</v>
      </c>
      <c r="F106" s="40">
        <f t="shared" si="42"/>
        <v>0</v>
      </c>
      <c r="G106" s="40">
        <f t="shared" si="42"/>
        <v>0</v>
      </c>
      <c r="H106" s="40">
        <f t="shared" si="42"/>
        <v>0</v>
      </c>
      <c r="I106" s="40">
        <f t="shared" si="42"/>
        <v>0</v>
      </c>
    </row>
    <row r="107" spans="1:9">
      <c r="A107" s="14" t="str">
        <f t="shared" si="28"/>
        <v>Cashew</v>
      </c>
      <c r="B107" s="31"/>
      <c r="C107" s="40">
        <f t="shared" ref="C107:I107" si="43">$B107*C54</f>
        <v>0</v>
      </c>
      <c r="D107" s="40">
        <f t="shared" si="43"/>
        <v>0</v>
      </c>
      <c r="E107" s="40">
        <f t="shared" si="43"/>
        <v>0</v>
      </c>
      <c r="F107" s="40">
        <f t="shared" si="43"/>
        <v>0</v>
      </c>
      <c r="G107" s="40">
        <f t="shared" si="43"/>
        <v>0</v>
      </c>
      <c r="H107" s="40">
        <f t="shared" si="43"/>
        <v>0</v>
      </c>
      <c r="I107" s="40">
        <f t="shared" si="43"/>
        <v>0</v>
      </c>
    </row>
    <row r="108" spans="1:9">
      <c r="A108" s="14" t="str">
        <f t="shared" si="28"/>
        <v>Custard Apple</v>
      </c>
      <c r="B108" s="31"/>
      <c r="C108" s="40">
        <f t="shared" ref="C108:I108" si="44">$B108*C55</f>
        <v>0</v>
      </c>
      <c r="D108" s="40">
        <f t="shared" si="44"/>
        <v>0</v>
      </c>
      <c r="E108" s="40">
        <f t="shared" si="44"/>
        <v>0</v>
      </c>
      <c r="F108" s="40">
        <f t="shared" si="44"/>
        <v>0</v>
      </c>
      <c r="G108" s="40">
        <f t="shared" si="44"/>
        <v>0</v>
      </c>
      <c r="H108" s="40">
        <f t="shared" si="44"/>
        <v>0</v>
      </c>
      <c r="I108" s="40">
        <f t="shared" si="44"/>
        <v>0</v>
      </c>
    </row>
    <row r="109" spans="1:9">
      <c r="A109" s="14" t="str">
        <f t="shared" si="28"/>
        <v>Guava</v>
      </c>
      <c r="B109" s="31"/>
      <c r="C109" s="40">
        <f t="shared" ref="C109:I109" si="45">$B109*C56</f>
        <v>0</v>
      </c>
      <c r="D109" s="40">
        <f t="shared" si="45"/>
        <v>0</v>
      </c>
      <c r="E109" s="40">
        <f t="shared" si="45"/>
        <v>0</v>
      </c>
      <c r="F109" s="40">
        <f t="shared" si="45"/>
        <v>0</v>
      </c>
      <c r="G109" s="40">
        <f t="shared" si="45"/>
        <v>0</v>
      </c>
      <c r="H109" s="40">
        <f t="shared" si="45"/>
        <v>0</v>
      </c>
      <c r="I109" s="40">
        <f t="shared" si="45"/>
        <v>0</v>
      </c>
    </row>
    <row r="110" spans="1:9">
      <c r="A110" s="14" t="str">
        <f t="shared" si="28"/>
        <v>Citrus</v>
      </c>
      <c r="B110" s="31"/>
      <c r="C110" s="40">
        <f t="shared" ref="C110:I110" si="46">$B110*C57</f>
        <v>0</v>
      </c>
      <c r="D110" s="40">
        <f t="shared" si="46"/>
        <v>0</v>
      </c>
      <c r="E110" s="40">
        <f t="shared" si="46"/>
        <v>0</v>
      </c>
      <c r="F110" s="40">
        <f t="shared" si="46"/>
        <v>0</v>
      </c>
      <c r="G110" s="40">
        <f t="shared" si="46"/>
        <v>0</v>
      </c>
      <c r="H110" s="40">
        <f t="shared" si="46"/>
        <v>0</v>
      </c>
      <c r="I110" s="40">
        <f t="shared" si="46"/>
        <v>0</v>
      </c>
    </row>
    <row r="111" spans="1:9">
      <c r="A111" s="14"/>
      <c r="B111" s="31"/>
      <c r="C111" s="40"/>
      <c r="D111" s="40"/>
      <c r="E111" s="40"/>
      <c r="F111" s="40"/>
      <c r="G111" s="40"/>
      <c r="H111" s="40"/>
      <c r="I111" s="40"/>
    </row>
    <row r="112" spans="1:9">
      <c r="A112" s="14"/>
      <c r="B112" s="31"/>
      <c r="C112" s="40"/>
      <c r="D112" s="40"/>
      <c r="E112" s="40"/>
      <c r="F112" s="40"/>
      <c r="G112" s="40"/>
      <c r="H112" s="40"/>
      <c r="I112" s="40"/>
    </row>
    <row r="113" spans="1:10">
      <c r="A113" s="37" t="s">
        <v>665</v>
      </c>
      <c r="B113" s="14"/>
      <c r="C113" s="14"/>
      <c r="D113" s="14"/>
      <c r="E113" s="14"/>
      <c r="F113" s="14"/>
      <c r="G113" s="14"/>
      <c r="H113" s="14"/>
      <c r="I113" s="14"/>
    </row>
    <row r="114" spans="1:10">
      <c r="A114" s="14" t="s">
        <v>666</v>
      </c>
      <c r="B114" s="31">
        <v>100</v>
      </c>
      <c r="C114" s="40">
        <f>SUM(C62:C110)*$B$114</f>
        <v>0</v>
      </c>
      <c r="D114" s="40">
        <f t="shared" ref="D114:I114" si="47">SUM(D62:D110)*$B$114</f>
        <v>0</v>
      </c>
      <c r="E114" s="40">
        <f t="shared" si="47"/>
        <v>0</v>
      </c>
      <c r="F114" s="40">
        <f t="shared" si="47"/>
        <v>0</v>
      </c>
      <c r="G114" s="40">
        <f t="shared" si="47"/>
        <v>0</v>
      </c>
      <c r="H114" s="40">
        <f t="shared" si="47"/>
        <v>0</v>
      </c>
      <c r="I114" s="40">
        <f t="shared" si="47"/>
        <v>0</v>
      </c>
    </row>
    <row r="115" spans="1:10">
      <c r="A115" s="14" t="s">
        <v>667</v>
      </c>
      <c r="B115" s="31">
        <v>30</v>
      </c>
      <c r="C115" s="40">
        <f>SUM(C62:C110)*$B$115</f>
        <v>0</v>
      </c>
      <c r="D115" s="40">
        <f t="shared" ref="D115:I115" si="48">SUM(D62:D110)*$B$115</f>
        <v>0</v>
      </c>
      <c r="E115" s="40">
        <f t="shared" si="48"/>
        <v>0</v>
      </c>
      <c r="F115" s="40">
        <f t="shared" si="48"/>
        <v>0</v>
      </c>
      <c r="G115" s="40">
        <f t="shared" si="48"/>
        <v>0</v>
      </c>
      <c r="H115" s="40">
        <f t="shared" si="48"/>
        <v>0</v>
      </c>
      <c r="I115" s="40">
        <f t="shared" si="48"/>
        <v>0</v>
      </c>
    </row>
    <row r="116" spans="1:10">
      <c r="A116" s="14" t="s">
        <v>668</v>
      </c>
      <c r="B116" s="31">
        <v>30</v>
      </c>
      <c r="C116" s="40">
        <f>SUM(C62:C110)*$B$116</f>
        <v>0</v>
      </c>
      <c r="D116" s="40">
        <f t="shared" ref="D116:I116" si="49">SUM(D62:D110)*$B$116</f>
        <v>0</v>
      </c>
      <c r="E116" s="40">
        <f t="shared" si="49"/>
        <v>0</v>
      </c>
      <c r="F116" s="40">
        <f t="shared" si="49"/>
        <v>0</v>
      </c>
      <c r="G116" s="40">
        <f t="shared" si="49"/>
        <v>0</v>
      </c>
      <c r="H116" s="40">
        <f t="shared" si="49"/>
        <v>0</v>
      </c>
      <c r="I116" s="40">
        <f t="shared" si="49"/>
        <v>0</v>
      </c>
    </row>
    <row r="117" spans="1:10">
      <c r="A117" s="37" t="s">
        <v>669</v>
      </c>
      <c r="B117" s="31"/>
      <c r="C117" s="14"/>
      <c r="D117" s="14"/>
      <c r="E117" s="14"/>
      <c r="F117" s="14"/>
      <c r="G117" s="14"/>
      <c r="H117" s="14"/>
      <c r="I117" s="14"/>
    </row>
    <row r="118" spans="1:10">
      <c r="A118" s="14" t="s">
        <v>670</v>
      </c>
      <c r="B118" s="31">
        <v>0.2</v>
      </c>
      <c r="C118" s="40">
        <f>SUM(C62:C110)*$B$118</f>
        <v>0</v>
      </c>
      <c r="D118" s="40">
        <f t="shared" ref="D118:I118" si="50">SUM(D62:D110)*$B$118</f>
        <v>0</v>
      </c>
      <c r="E118" s="40">
        <f t="shared" si="50"/>
        <v>0</v>
      </c>
      <c r="F118" s="40">
        <f t="shared" si="50"/>
        <v>0</v>
      </c>
      <c r="G118" s="40">
        <f t="shared" si="50"/>
        <v>0</v>
      </c>
      <c r="H118" s="40">
        <f t="shared" si="50"/>
        <v>0</v>
      </c>
      <c r="I118" s="40">
        <f t="shared" si="50"/>
        <v>0</v>
      </c>
    </row>
    <row r="119" spans="1:10">
      <c r="A119" s="14" t="s">
        <v>671</v>
      </c>
      <c r="B119" s="31">
        <v>0.5</v>
      </c>
      <c r="C119" s="40">
        <f>SUM(C62:C110)*$B$119</f>
        <v>0</v>
      </c>
      <c r="D119" s="40">
        <f t="shared" ref="D119:I119" si="51">SUM(D62:D110)*$B$119</f>
        <v>0</v>
      </c>
      <c r="E119" s="40">
        <f t="shared" si="51"/>
        <v>0</v>
      </c>
      <c r="F119" s="40">
        <f t="shared" si="51"/>
        <v>0</v>
      </c>
      <c r="G119" s="40">
        <f t="shared" si="51"/>
        <v>0</v>
      </c>
      <c r="H119" s="40">
        <f t="shared" si="51"/>
        <v>0</v>
      </c>
      <c r="I119" s="40">
        <f t="shared" si="51"/>
        <v>0</v>
      </c>
    </row>
    <row r="122" spans="1:10">
      <c r="A122" s="456" t="s">
        <v>672</v>
      </c>
      <c r="B122" s="456"/>
      <c r="C122" s="456"/>
      <c r="D122" s="456"/>
      <c r="E122" s="456"/>
      <c r="F122" s="456"/>
      <c r="G122" s="456"/>
      <c r="H122" s="456"/>
      <c r="I122" s="456"/>
      <c r="J122" s="456"/>
    </row>
    <row r="123" spans="1:10">
      <c r="A123" s="25"/>
      <c r="B123" s="25"/>
      <c r="C123" s="25"/>
      <c r="D123" s="25"/>
      <c r="E123" s="25"/>
      <c r="F123" s="25"/>
      <c r="G123" s="25"/>
      <c r="H123" s="25"/>
    </row>
    <row r="124" spans="1:10">
      <c r="A124" s="25"/>
      <c r="B124" s="25"/>
      <c r="C124" s="25"/>
      <c r="D124" s="26">
        <v>1</v>
      </c>
      <c r="E124" s="27">
        <f>(D124*5%)+D124</f>
        <v>1.05</v>
      </c>
      <c r="F124" s="27">
        <f t="shared" ref="F124:J124" si="52">(E124*5%)+E124</f>
        <v>1.1025</v>
      </c>
      <c r="G124" s="27">
        <f t="shared" si="52"/>
        <v>1.1576250000000001</v>
      </c>
      <c r="H124" s="27">
        <f t="shared" si="52"/>
        <v>1.2155062500000002</v>
      </c>
      <c r="I124" s="27">
        <f t="shared" si="52"/>
        <v>1.2762815625000004</v>
      </c>
      <c r="J124" s="27">
        <f t="shared" si="52"/>
        <v>1.3400956406250004</v>
      </c>
    </row>
    <row r="126" spans="1:10">
      <c r="A126" s="28" t="s">
        <v>145</v>
      </c>
      <c r="B126" s="28" t="s">
        <v>115</v>
      </c>
      <c r="C126" s="28" t="s">
        <v>126</v>
      </c>
      <c r="D126" s="29" t="s">
        <v>148</v>
      </c>
      <c r="E126" s="29" t="s">
        <v>149</v>
      </c>
      <c r="F126" s="29" t="s">
        <v>150</v>
      </c>
      <c r="G126" s="29" t="s">
        <v>151</v>
      </c>
      <c r="H126" s="29" t="s">
        <v>152</v>
      </c>
      <c r="I126" s="29" t="s">
        <v>153</v>
      </c>
      <c r="J126" s="29" t="s">
        <v>154</v>
      </c>
    </row>
    <row r="127" spans="1:10">
      <c r="A127" s="16" t="s">
        <v>343</v>
      </c>
      <c r="B127" s="9"/>
      <c r="C127" s="9"/>
      <c r="D127" s="9"/>
      <c r="E127" s="9"/>
      <c r="F127" s="9"/>
      <c r="G127" s="9"/>
      <c r="H127" s="9"/>
      <c r="I127" s="9"/>
      <c r="J127" s="9"/>
    </row>
    <row r="128" spans="1:10">
      <c r="A128" s="9" t="s">
        <v>673</v>
      </c>
      <c r="B128" s="9"/>
      <c r="C128" s="9"/>
      <c r="D128" s="9"/>
      <c r="E128" s="9"/>
      <c r="F128" s="9"/>
      <c r="G128" s="9"/>
      <c r="H128" s="9"/>
      <c r="I128" s="9"/>
      <c r="J128" s="9"/>
    </row>
    <row r="129" spans="1:21">
      <c r="A129" s="16" t="str">
        <f t="shared" ref="A129:A160" si="53">A8</f>
        <v>Kharif Crops</v>
      </c>
      <c r="B129" s="9"/>
      <c r="C129" s="9"/>
      <c r="D129" s="9"/>
      <c r="E129" s="9"/>
      <c r="F129" s="9"/>
      <c r="G129" s="9"/>
      <c r="H129" s="9"/>
      <c r="I129" s="9"/>
      <c r="J129" s="9"/>
    </row>
    <row r="130" spans="1:21">
      <c r="A130" s="9" t="str">
        <f t="shared" si="53"/>
        <v>Soybean</v>
      </c>
      <c r="B130" s="9"/>
      <c r="C130" s="31">
        <v>90</v>
      </c>
      <c r="D130" s="19">
        <f>(C62*(1-'5.Closing Stock &amp; W Capital'!$D$15))*$C$130*D$124</f>
        <v>0</v>
      </c>
      <c r="E130" s="19">
        <f>(D62*(1-'5.Closing Stock &amp; W Capital'!$D$15))*$C$130*E$124</f>
        <v>0</v>
      </c>
      <c r="F130" s="19">
        <f>(E62*(1-'5.Closing Stock &amp; W Capital'!$D$15))*$C$130*F$124</f>
        <v>0</v>
      </c>
      <c r="G130" s="19">
        <f>(F62*(1-'5.Closing Stock &amp; W Capital'!$D$15))*$C$130*G$124</f>
        <v>0</v>
      </c>
      <c r="H130" s="19">
        <f>(G62*(1-'5.Closing Stock &amp; W Capital'!$D$15))*$C$130*H$124</f>
        <v>0</v>
      </c>
      <c r="I130" s="19">
        <f>(H62*(1-'5.Closing Stock &amp; W Capital'!$D$15))*$C$130*I$124</f>
        <v>0</v>
      </c>
      <c r="J130" s="19">
        <f>(I62*(1-'5.Closing Stock &amp; W Capital'!$D$15))*$C$130*J$124</f>
        <v>0</v>
      </c>
    </row>
    <row r="131" spans="1:21">
      <c r="A131" s="9" t="str">
        <f t="shared" si="53"/>
        <v>Red Gram/Tur</v>
      </c>
      <c r="B131" s="9"/>
      <c r="C131" s="32">
        <v>80</v>
      </c>
      <c r="D131" s="19">
        <f>(C63*(1-'5.Closing Stock &amp; W Capital'!$D$15))*$C$131*D$124</f>
        <v>0</v>
      </c>
      <c r="E131" s="19">
        <f>((D63*(1-'5.Closing Stock &amp; W Capital'!$D$15))+(C63*'5.Closing Stock &amp; W Capital'!$D$15))*$C$131*E$124</f>
        <v>0</v>
      </c>
      <c r="F131" s="19">
        <f>((E63*(1-'5.Closing Stock &amp; W Capital'!$D$15))+(D63*'5.Closing Stock &amp; W Capital'!$D$15))*$C$131*F$124</f>
        <v>0</v>
      </c>
      <c r="G131" s="19">
        <f>((F63*(1-'5.Closing Stock &amp; W Capital'!$D$15))+(E63*'5.Closing Stock &amp; W Capital'!$D$15))*$C$131*G124</f>
        <v>0</v>
      </c>
      <c r="H131" s="19">
        <f>((G63*(1-'5.Closing Stock &amp; W Capital'!$D$15))+(F63*'5.Closing Stock &amp; W Capital'!$D$15))*$C$131*H124</f>
        <v>0</v>
      </c>
      <c r="I131" s="19">
        <f>((H63*(1-'5.Closing Stock &amp; W Capital'!$D$15))+(G63*'5.Closing Stock &amp; W Capital'!$D$15))*$C$131*I124</f>
        <v>0</v>
      </c>
      <c r="J131" s="19">
        <f>((I63*(1-'5.Closing Stock &amp; W Capital'!$D$15))+(H63*'5.Closing Stock &amp; W Capital'!$D$15))*$C$131*J124</f>
        <v>0</v>
      </c>
      <c r="U131" s="41"/>
    </row>
    <row r="132" spans="1:21">
      <c r="A132" s="9" t="str">
        <f t="shared" si="53"/>
        <v>Paddy/Rice</v>
      </c>
      <c r="B132" s="9"/>
      <c r="C132" s="32">
        <v>0</v>
      </c>
      <c r="D132" s="19">
        <f>(C64*(1-'5.Closing Stock &amp; W Capital'!$D$15))*$C$132*D$124</f>
        <v>0</v>
      </c>
      <c r="E132" s="19">
        <f>((D64*(1-'5.Closing Stock &amp; W Capital'!$D$15))+(C64*'5.Closing Stock &amp; W Capital'!$D$15))*$C$132*E$124</f>
        <v>0</v>
      </c>
      <c r="F132" s="19">
        <f>((E64*(1-'5.Closing Stock &amp; W Capital'!$D$15))+(D64*'5.Closing Stock &amp; W Capital'!$D$15))*$C$132*F$124</f>
        <v>0</v>
      </c>
      <c r="G132" s="19">
        <f>((F64*(1-'5.Closing Stock &amp; W Capital'!$D$15))+(E64*'5.Closing Stock &amp; W Capital'!$D$15))*$C$132*G124</f>
        <v>0</v>
      </c>
      <c r="H132" s="19">
        <f>((G64*(1-'5.Closing Stock &amp; W Capital'!$D$15))+(F64*'5.Closing Stock &amp; W Capital'!$D$15))*$C$132*H124</f>
        <v>0</v>
      </c>
      <c r="I132" s="19">
        <f>((H64*(1-'5.Closing Stock &amp; W Capital'!$D$15))+(G64*'5.Closing Stock &amp; W Capital'!$D$15))*$C$132*I124</f>
        <v>0</v>
      </c>
      <c r="J132" s="19">
        <f>((I64*(1-'5.Closing Stock &amp; W Capital'!$D$15))+(H64*'5.Closing Stock &amp; W Capital'!$D$15))*$C$132*J124</f>
        <v>0</v>
      </c>
    </row>
    <row r="133" spans="1:21">
      <c r="A133" s="9" t="str">
        <f t="shared" si="53"/>
        <v>Green Gram/ Moong</v>
      </c>
      <c r="B133" s="9"/>
      <c r="C133" s="32">
        <v>85</v>
      </c>
      <c r="D133" s="19">
        <f>(C65*(1-'5.Closing Stock &amp; W Capital'!$D$15))*$C$133*D$124</f>
        <v>0</v>
      </c>
      <c r="E133" s="19">
        <f>((D65*(1-'5.Closing Stock &amp; W Capital'!$D$15))+(C65*'5.Closing Stock &amp; W Capital'!$D$15))*$C$133*E$124</f>
        <v>0</v>
      </c>
      <c r="F133" s="19">
        <f>((E65*(1-'5.Closing Stock &amp; W Capital'!$D$15))+(D65*'5.Closing Stock &amp; W Capital'!$D$15))*$C$133*F$124</f>
        <v>0</v>
      </c>
      <c r="G133" s="19">
        <f>((F65*(1-'5.Closing Stock &amp; W Capital'!$D$15))+(E65*'5.Closing Stock &amp; W Capital'!$D$15))*$C$133*G$124</f>
        <v>0</v>
      </c>
      <c r="H133" s="19">
        <f>((G65*(1-'5.Closing Stock &amp; W Capital'!$D$15))+(F65*'5.Closing Stock &amp; W Capital'!$D$15))*$C$133*H$124</f>
        <v>0</v>
      </c>
      <c r="I133" s="19">
        <f>((H65*(1-'5.Closing Stock &amp; W Capital'!$D$15))+(G65*'5.Closing Stock &amp; W Capital'!$D$15))*$C$133*I$124</f>
        <v>0</v>
      </c>
      <c r="J133" s="19">
        <f>((I65*(1-'5.Closing Stock &amp; W Capital'!$D$15))+(H65*'5.Closing Stock &amp; W Capital'!$D$15))*$C$133*J$124</f>
        <v>0</v>
      </c>
    </row>
    <row r="134" spans="1:21">
      <c r="A134" s="9" t="str">
        <f t="shared" si="53"/>
        <v>Maize</v>
      </c>
      <c r="B134" s="9"/>
      <c r="C134" s="32">
        <v>37</v>
      </c>
      <c r="D134" s="19">
        <f>(C66*(1-'5.Closing Stock &amp; W Capital'!$D$15))*$C$134*D$124</f>
        <v>0</v>
      </c>
      <c r="E134" s="19">
        <f>((D66*(1-'5.Closing Stock &amp; W Capital'!$D$15))+(C66*'5.Closing Stock &amp; W Capital'!$D$15))*$C$135*E$124</f>
        <v>0</v>
      </c>
      <c r="F134" s="19">
        <f>((E66*(1-'5.Closing Stock &amp; W Capital'!$D$15))+(D66*'5.Closing Stock &amp; W Capital'!$D$15))*$C$135*F$124</f>
        <v>0</v>
      </c>
      <c r="G134" s="19">
        <f>((F66*(1-'5.Closing Stock &amp; W Capital'!$D$15))+(E66*'5.Closing Stock &amp; W Capital'!$D$15))*$C$135*G$124</f>
        <v>0</v>
      </c>
      <c r="H134" s="19">
        <f>((G66*(1-'5.Closing Stock &amp; W Capital'!$D$15))+(F66*'5.Closing Stock &amp; W Capital'!$D$15))*$C$135*H$124</f>
        <v>0</v>
      </c>
      <c r="I134" s="19">
        <f>((H66*(1-'5.Closing Stock &amp; W Capital'!$D$15))+(G66*'5.Closing Stock &amp; W Capital'!$D$15))*$C$135*I$124</f>
        <v>0</v>
      </c>
      <c r="J134" s="19">
        <f>((I66*(1-'5.Closing Stock &amp; W Capital'!$D$15))+(H66*'5.Closing Stock &amp; W Capital'!$D$15))*$C$135*J$124</f>
        <v>0</v>
      </c>
    </row>
    <row r="135" spans="1:21">
      <c r="A135" s="9" t="str">
        <f t="shared" si="53"/>
        <v>Black Gram/Udid</v>
      </c>
      <c r="B135" s="9"/>
      <c r="C135" s="32">
        <v>75</v>
      </c>
      <c r="D135" s="19">
        <f>(C67*(1-'5.Closing Stock &amp; W Capital'!$D$15))*$C$135*D$124</f>
        <v>0</v>
      </c>
      <c r="E135" s="19">
        <f>((D67*(1-'5.Closing Stock &amp; W Capital'!$D$15))+(C67*'5.Closing Stock &amp; W Capital'!$D$15))*$C$135*E$124</f>
        <v>0</v>
      </c>
      <c r="F135" s="19">
        <f>((E67*(1-'5.Closing Stock &amp; W Capital'!$D$15))+(D67*'5.Closing Stock &amp; W Capital'!$D$15))*$C$135*F$124</f>
        <v>0</v>
      </c>
      <c r="G135" s="19">
        <f>((F67*(1-'5.Closing Stock &amp; W Capital'!$D$15))+(E67*'5.Closing Stock &amp; W Capital'!$D$15))*$C$135*G$124</f>
        <v>0</v>
      </c>
      <c r="H135" s="19">
        <f>((G67*(1-'5.Closing Stock &amp; W Capital'!$D$15))+(F67*'5.Closing Stock &amp; W Capital'!$D$15))*$C$135*H$124</f>
        <v>0</v>
      </c>
      <c r="I135" s="19">
        <f>((H67*(1-'5.Closing Stock &amp; W Capital'!$D$15))+(G67*'5.Closing Stock &amp; W Capital'!$D$15))*$C$135*I$124</f>
        <v>0</v>
      </c>
      <c r="J135" s="19">
        <f>((I67*(1-'5.Closing Stock &amp; W Capital'!$D$15))+(H67*'5.Closing Stock &amp; W Capital'!$D$15))*$C$135*J$124</f>
        <v>0</v>
      </c>
    </row>
    <row r="136" spans="1:21">
      <c r="A136" s="9" t="str">
        <f t="shared" si="53"/>
        <v>Bajra</v>
      </c>
      <c r="B136" s="9"/>
      <c r="C136" s="32">
        <v>30</v>
      </c>
      <c r="D136" s="19">
        <f>(C68*(1-'5.Closing Stock &amp; W Capital'!$D$15))*$C$136*D$124</f>
        <v>0</v>
      </c>
      <c r="E136" s="19">
        <f>((D68*(1-'5.Closing Stock &amp; W Capital'!$D$15))+(C68*'5.Closing Stock &amp; W Capital'!$D$15))*$C$136*E$124</f>
        <v>0</v>
      </c>
      <c r="F136" s="19">
        <f>((E68*(1-'5.Closing Stock &amp; W Capital'!$D$15))+(D68*'5.Closing Stock &amp; W Capital'!$D$15))*$C$136*F$124</f>
        <v>0</v>
      </c>
      <c r="G136" s="19">
        <f>((F68*(1-'5.Closing Stock &amp; W Capital'!$D$15))+(E68*'5.Closing Stock &amp; W Capital'!$D$15))*$C$136*G$124</f>
        <v>0</v>
      </c>
      <c r="H136" s="19">
        <f>((G68*(1-'5.Closing Stock &amp; W Capital'!$D$15))+(F68*'5.Closing Stock &amp; W Capital'!$D$15))*$C$136*H$124</f>
        <v>0</v>
      </c>
      <c r="I136" s="19">
        <f>((H68*(1-'5.Closing Stock &amp; W Capital'!$D$15))+(G68*'5.Closing Stock &amp; W Capital'!$D$15))*$C$136*I$124</f>
        <v>0</v>
      </c>
      <c r="J136" s="19">
        <f>((I68*(1-'5.Closing Stock &amp; W Capital'!$D$15))+(H68*'5.Closing Stock &amp; W Capital'!$D$15))*$C$136*J$124</f>
        <v>0</v>
      </c>
    </row>
    <row r="137" spans="1:21">
      <c r="A137" s="9" t="str">
        <f t="shared" si="53"/>
        <v>Jawar</v>
      </c>
      <c r="B137" s="9"/>
      <c r="C137" s="32">
        <v>30</v>
      </c>
      <c r="D137" s="19">
        <f>(C69*(1-'5.Closing Stock &amp; W Capital'!$D$15))*$C$137*D$124</f>
        <v>0</v>
      </c>
      <c r="E137" s="19">
        <f>((D69*(1-'5.Closing Stock &amp; W Capital'!$D$15))+(C69*'5.Closing Stock &amp; W Capital'!$D$15))*$C$137*E$124</f>
        <v>0</v>
      </c>
      <c r="F137" s="19">
        <f>((E69*(1-'5.Closing Stock &amp; W Capital'!$D$15))+(D69*'5.Closing Stock &amp; W Capital'!$D$15))*$C$137*F$124</f>
        <v>0</v>
      </c>
      <c r="G137" s="19">
        <f>((F69*(1-'5.Closing Stock &amp; W Capital'!$D$15))+(E69*'5.Closing Stock &amp; W Capital'!$D$15))*$C$137*G$124</f>
        <v>0</v>
      </c>
      <c r="H137" s="19">
        <f>((G69*(1-'5.Closing Stock &amp; W Capital'!$D$15))+(F69*'5.Closing Stock &amp; W Capital'!$D$15))*$C$137*H$124</f>
        <v>0</v>
      </c>
      <c r="I137" s="19">
        <f>((H69*(1-'5.Closing Stock &amp; W Capital'!$D$15))+(G69*'5.Closing Stock &amp; W Capital'!$D$15))*$C$137*I$124</f>
        <v>0</v>
      </c>
      <c r="J137" s="19">
        <f>((I69*(1-'5.Closing Stock &amp; W Capital'!$D$15))+(H69*'5.Closing Stock &amp; W Capital'!$D$15))*$C$137*J$124</f>
        <v>0</v>
      </c>
    </row>
    <row r="138" spans="1:21">
      <c r="A138" s="16" t="str">
        <f t="shared" si="53"/>
        <v>Rabi Crop</v>
      </c>
      <c r="B138" s="9"/>
      <c r="C138" s="32"/>
      <c r="D138" s="19"/>
      <c r="E138" s="19"/>
      <c r="F138" s="19"/>
      <c r="G138" s="19"/>
      <c r="H138" s="19"/>
      <c r="I138" s="19"/>
      <c r="J138" s="19"/>
    </row>
    <row r="139" spans="1:21">
      <c r="A139" s="9" t="str">
        <f t="shared" si="53"/>
        <v>Wheat</v>
      </c>
      <c r="B139" s="9"/>
      <c r="C139" s="32">
        <v>40</v>
      </c>
      <c r="D139" s="19">
        <f>(C71*(1-'5.Closing Stock &amp; W Capital'!$D$15))*$C$139*D$124</f>
        <v>0</v>
      </c>
      <c r="E139" s="19">
        <f>((D71*(1-'5.Closing Stock &amp; W Capital'!$D$15))+(C71*'5.Closing Stock &amp; W Capital'!$D$15))*$C$139*E$124</f>
        <v>0</v>
      </c>
      <c r="F139" s="19">
        <f>((E71*(1-'5.Closing Stock &amp; W Capital'!$D$15))+(D71*'5.Closing Stock &amp; W Capital'!$D$15))*$C$139*F$124</f>
        <v>0</v>
      </c>
      <c r="G139" s="19">
        <f>((F71*(1-'5.Closing Stock &amp; W Capital'!$D$15))+(E71*'5.Closing Stock &amp; W Capital'!$D$15))*$C$139*G$124</f>
        <v>0</v>
      </c>
      <c r="H139" s="19">
        <f>((G71*(1-'5.Closing Stock &amp; W Capital'!$D$15))+(F71*'5.Closing Stock &amp; W Capital'!$D$15))*$C$139*H$124</f>
        <v>0</v>
      </c>
      <c r="I139" s="19">
        <f>((H71*(1-'5.Closing Stock &amp; W Capital'!$D$15))+(G71*'5.Closing Stock &amp; W Capital'!$D$15))*$C$139*I$124</f>
        <v>0</v>
      </c>
      <c r="J139" s="19">
        <f>((I71*(1-'5.Closing Stock &amp; W Capital'!$D$15))+(H71*'5.Closing Stock &amp; W Capital'!$D$15))*$C$139*J$124</f>
        <v>0</v>
      </c>
    </row>
    <row r="140" spans="1:21">
      <c r="A140" s="9" t="str">
        <f t="shared" si="53"/>
        <v>Bengal Gram/Channa</v>
      </c>
      <c r="B140" s="9"/>
      <c r="C140" s="32">
        <v>75</v>
      </c>
      <c r="D140" s="19">
        <f>(C72*(1-'5.Closing Stock &amp; W Capital'!$D$15))*$C$140*D$124</f>
        <v>0</v>
      </c>
      <c r="E140" s="19">
        <f>((D72*(1-'5.Closing Stock &amp; W Capital'!$D$15))+(C72*'5.Closing Stock &amp; W Capital'!$D$15))*$C$140*E$124</f>
        <v>0</v>
      </c>
      <c r="F140" s="19">
        <f>((E72*(1-'5.Closing Stock &amp; W Capital'!$D$15))+(D72*'5.Closing Stock &amp; W Capital'!$D$15))*$C$140*F$124</f>
        <v>0</v>
      </c>
      <c r="G140" s="19">
        <f>((F72*(1-'5.Closing Stock &amp; W Capital'!$D$15))+(E72*'5.Closing Stock &amp; W Capital'!$D$15))*$C$140*G$124</f>
        <v>0</v>
      </c>
      <c r="H140" s="19">
        <f>((G72*(1-'5.Closing Stock &amp; W Capital'!$D$15))+(F72*'5.Closing Stock &amp; W Capital'!$D$15))*$C$140*H$124</f>
        <v>0</v>
      </c>
      <c r="I140" s="19">
        <f>((H72*(1-'5.Closing Stock &amp; W Capital'!$D$15))+(G72*'5.Closing Stock &amp; W Capital'!$D$15))*$C$140*I$124</f>
        <v>0</v>
      </c>
      <c r="J140" s="19">
        <f>((I72*(1-'5.Closing Stock &amp; W Capital'!$D$15))+(H72*'5.Closing Stock &amp; W Capital'!$D$15))*$C$140*J$124</f>
        <v>0</v>
      </c>
    </row>
    <row r="141" spans="1:21">
      <c r="A141" s="9" t="str">
        <f t="shared" si="53"/>
        <v>Jawar</v>
      </c>
      <c r="B141" s="9"/>
      <c r="C141" s="32">
        <v>27</v>
      </c>
      <c r="D141" s="19">
        <f>(C73*(1-'5.Closing Stock &amp; W Capital'!$D$15))*$C$141*D$124</f>
        <v>0</v>
      </c>
      <c r="E141" s="19">
        <f>((D73*(1-'5.Closing Stock &amp; W Capital'!$D$15))+(C73*'5.Closing Stock &amp; W Capital'!$D$15))*$C$141*E$124</f>
        <v>0</v>
      </c>
      <c r="F141" s="19">
        <f>((E73*(1-'5.Closing Stock &amp; W Capital'!$D$15))+(D73*'5.Closing Stock &amp; W Capital'!$D$15))*$C$141*F$124</f>
        <v>0</v>
      </c>
      <c r="G141" s="19">
        <f>((F73*(1-'5.Closing Stock &amp; W Capital'!$D$15))+(E73*'5.Closing Stock &amp; W Capital'!$D$15))*$C$141*G$124</f>
        <v>0</v>
      </c>
      <c r="H141" s="19">
        <f>((G73*(1-'5.Closing Stock &amp; W Capital'!$D$15))+(F73*'5.Closing Stock &amp; W Capital'!$D$15))*$C$141*H$124</f>
        <v>0</v>
      </c>
      <c r="I141" s="19">
        <f>((H73*(1-'5.Closing Stock &amp; W Capital'!$D$15))+(G73*'5.Closing Stock &amp; W Capital'!$D$15))*$C$141*I$124</f>
        <v>0</v>
      </c>
      <c r="J141" s="19">
        <f>((I73*(1-'5.Closing Stock &amp; W Capital'!$D$15))+(H73*'5.Closing Stock &amp; W Capital'!$D$15))*$C$141*J$124</f>
        <v>0</v>
      </c>
    </row>
    <row r="142" spans="1:21">
      <c r="A142" s="9" t="str">
        <f t="shared" si="53"/>
        <v>Maize</v>
      </c>
      <c r="B142" s="9"/>
      <c r="C142" s="32">
        <v>27</v>
      </c>
      <c r="D142" s="19">
        <f>(C74*(1-'5.Closing Stock &amp; W Capital'!$D$15))*$C$142*D$124</f>
        <v>0</v>
      </c>
      <c r="E142" s="19">
        <f>((D74*(1-'5.Closing Stock &amp; W Capital'!$D$15))+(C74*'5.Closing Stock &amp; W Capital'!$D$15))*$C$142*E$124</f>
        <v>0</v>
      </c>
      <c r="F142" s="19">
        <f>((E74*(1-'5.Closing Stock &amp; W Capital'!$D$15))+(D74*'5.Closing Stock &amp; W Capital'!$D$15))*$C$142*F$124</f>
        <v>0</v>
      </c>
      <c r="G142" s="19">
        <f>((F74*(1-'5.Closing Stock &amp; W Capital'!$D$15))+(E74*'5.Closing Stock &amp; W Capital'!$D$15))*$C$142*G$124</f>
        <v>0</v>
      </c>
      <c r="H142" s="19">
        <f>((G74*(1-'5.Closing Stock &amp; W Capital'!$D$15))+(F74*'5.Closing Stock &amp; W Capital'!$D$15))*$C$142*H$124</f>
        <v>0</v>
      </c>
      <c r="I142" s="19">
        <f>((H74*(1-'5.Closing Stock &amp; W Capital'!$D$15))+(G74*'5.Closing Stock &amp; W Capital'!$D$15))*$C$142*I$124</f>
        <v>0</v>
      </c>
      <c r="J142" s="19">
        <f>((I74*(1-'5.Closing Stock &amp; W Capital'!$D$15))+(H74*'5.Closing Stock &amp; W Capital'!$D$15))*$C$142*J$124</f>
        <v>0</v>
      </c>
    </row>
    <row r="143" spans="1:21">
      <c r="A143" s="9" t="str">
        <f t="shared" si="53"/>
        <v>Safflower</v>
      </c>
      <c r="B143" s="9"/>
      <c r="C143" s="32"/>
      <c r="D143" s="19">
        <f>(C75*(1-'5.Closing Stock &amp; W Capital'!$D$15))*$C$143*D$124</f>
        <v>0</v>
      </c>
      <c r="E143" s="19">
        <f>((D75*(1-'5.Closing Stock &amp; W Capital'!$D$15))+(C75*'5.Closing Stock &amp; W Capital'!$D$15))*$C$143*E$124</f>
        <v>0</v>
      </c>
      <c r="F143" s="19">
        <f>((E75*(1-'5.Closing Stock &amp; W Capital'!$D$15))+(D75*'5.Closing Stock &amp; W Capital'!$D$15))*$C$143*F$124</f>
        <v>0</v>
      </c>
      <c r="G143" s="19">
        <f>((F75*(1-'5.Closing Stock &amp; W Capital'!$D$15))+(E75*'5.Closing Stock &amp; W Capital'!$D$15))*$C$143*G$124</f>
        <v>0</v>
      </c>
      <c r="H143" s="19">
        <f>((G75*(1-'5.Closing Stock &amp; W Capital'!$D$15))+(F75*'5.Closing Stock &amp; W Capital'!$D$15))*$C$143*H$124</f>
        <v>0</v>
      </c>
      <c r="I143" s="19">
        <f>((H75*(1-'5.Closing Stock &amp; W Capital'!$D$15))+(G75*'5.Closing Stock &amp; W Capital'!$D$15))*$C$143*I$124</f>
        <v>0</v>
      </c>
      <c r="J143" s="19">
        <f>((I75*(1-'5.Closing Stock &amp; W Capital'!$D$15))+(H75*'5.Closing Stock &amp; W Capital'!$D$15))*$C$143*J$124</f>
        <v>0</v>
      </c>
    </row>
    <row r="144" spans="1:21">
      <c r="A144" s="9">
        <f t="shared" si="53"/>
        <v>0</v>
      </c>
      <c r="B144" s="9"/>
      <c r="C144" s="32"/>
      <c r="D144" s="19">
        <f>(C76*(1-'5.Closing Stock &amp; W Capital'!$D$15))*$C$144*D$124</f>
        <v>0</v>
      </c>
      <c r="E144" s="19">
        <f>((D76*(1-'5.Closing Stock &amp; W Capital'!$D$15))+(C76*'5.Closing Stock &amp; W Capital'!$D$15))*$C$144*E$124</f>
        <v>0</v>
      </c>
      <c r="F144" s="19">
        <f>((E76*(1-'5.Closing Stock &amp; W Capital'!$D$15))+(D76*'5.Closing Stock &amp; W Capital'!$D$15))*$C$144*F$124</f>
        <v>0</v>
      </c>
      <c r="G144" s="19">
        <f>((F76*(1-'5.Closing Stock &amp; W Capital'!$D$15))+(E76*'5.Closing Stock &amp; W Capital'!$D$15))*$C$144*G$124</f>
        <v>0</v>
      </c>
      <c r="H144" s="19">
        <f>((G76*(1-'5.Closing Stock &amp; W Capital'!$D$15))+(F76*'5.Closing Stock &amp; W Capital'!$D$15))*$C$144*H$124</f>
        <v>0</v>
      </c>
      <c r="I144" s="19">
        <f>((H76*(1-'5.Closing Stock &amp; W Capital'!$D$15))+(G76*'5.Closing Stock &amp; W Capital'!$D$15))*$C$144*I$124</f>
        <v>0</v>
      </c>
      <c r="J144" s="19">
        <f>((I76*(1-'5.Closing Stock &amp; W Capital'!$D$15))+(H76*'5.Closing Stock &amp; W Capital'!$D$15))*$C$144*J$124</f>
        <v>0</v>
      </c>
    </row>
    <row r="145" spans="1:10">
      <c r="A145" s="9">
        <f t="shared" si="53"/>
        <v>0</v>
      </c>
      <c r="B145" s="9"/>
      <c r="C145" s="32"/>
      <c r="D145" s="19">
        <f>(C77*(1-'5.Closing Stock &amp; W Capital'!$D$15))*$C$145*D$124</f>
        <v>0</v>
      </c>
      <c r="E145" s="19">
        <f>((D77*(1-'5.Closing Stock &amp; W Capital'!$D$15))+(C77*'5.Closing Stock &amp; W Capital'!$D$15))*$C$145*E$124</f>
        <v>0</v>
      </c>
      <c r="F145" s="19">
        <f>((E77*(1-'5.Closing Stock &amp; W Capital'!$D$15))+(D77*'5.Closing Stock &amp; W Capital'!$D$15))*$C$145*F$124</f>
        <v>0</v>
      </c>
      <c r="G145" s="19">
        <f>((F77*(1-'5.Closing Stock &amp; W Capital'!$D$15))+(E77*'5.Closing Stock &amp; W Capital'!$D$15))*$C$145*G$124</f>
        <v>0</v>
      </c>
      <c r="H145" s="19">
        <f>((G77*(1-'5.Closing Stock &amp; W Capital'!$D$15))+(F77*'5.Closing Stock &amp; W Capital'!$D$15))*$C$145*H$124</f>
        <v>0</v>
      </c>
      <c r="I145" s="19">
        <f>((H77*(1-'5.Closing Stock &amp; W Capital'!$D$15))+(G77*'5.Closing Stock &amp; W Capital'!$D$15))*$C$145*I$124</f>
        <v>0</v>
      </c>
      <c r="J145" s="19">
        <f>((I77*(1-'5.Closing Stock &amp; W Capital'!$D$15))+(H77*'5.Closing Stock &amp; W Capital'!$D$15))*$C$145*J$124</f>
        <v>0</v>
      </c>
    </row>
    <row r="146" spans="1:10">
      <c r="A146" s="9">
        <f t="shared" si="53"/>
        <v>0</v>
      </c>
      <c r="B146" s="9"/>
      <c r="C146" s="32"/>
      <c r="D146" s="19">
        <f>(C78*(1-'5.Closing Stock &amp; W Capital'!$D$15))*$C$146*D$124</f>
        <v>0</v>
      </c>
      <c r="E146" s="19">
        <f>((D78*(1-'5.Closing Stock &amp; W Capital'!$D$15))+(C78*'5.Closing Stock &amp; W Capital'!$D$15))*$C$146*E$124</f>
        <v>0</v>
      </c>
      <c r="F146" s="19">
        <f>((E78*(1-'5.Closing Stock &amp; W Capital'!$D$15))+(D78*'5.Closing Stock &amp; W Capital'!$D$15))*$C$146*F$124</f>
        <v>0</v>
      </c>
      <c r="G146" s="19">
        <f>((F78*(1-'5.Closing Stock &amp; W Capital'!$D$15))+(E78*'5.Closing Stock &amp; W Capital'!$D$15))*$C$146*G$124</f>
        <v>0</v>
      </c>
      <c r="H146" s="19">
        <f>((G78*(1-'5.Closing Stock &amp; W Capital'!$D$15))+(F78*'5.Closing Stock &amp; W Capital'!$D$15))*$C$146*H$124</f>
        <v>0</v>
      </c>
      <c r="I146" s="19">
        <f>((H78*(1-'5.Closing Stock &amp; W Capital'!$D$15))+(G78*'5.Closing Stock &amp; W Capital'!$D$15))*$C$146*I$124</f>
        <v>0</v>
      </c>
      <c r="J146" s="19">
        <f>((I78*(1-'5.Closing Stock &amp; W Capital'!$D$15))+(H78*'5.Closing Stock &amp; W Capital'!$D$15))*$C$146*J$124</f>
        <v>0</v>
      </c>
    </row>
    <row r="147" spans="1:10">
      <c r="A147" s="16" t="str">
        <f t="shared" si="53"/>
        <v>Summer</v>
      </c>
      <c r="B147" s="9"/>
      <c r="C147" s="32"/>
      <c r="D147" s="19"/>
      <c r="E147" s="19"/>
      <c r="F147" s="19"/>
      <c r="G147" s="19"/>
      <c r="H147" s="19"/>
      <c r="I147" s="19"/>
      <c r="J147" s="19"/>
    </row>
    <row r="148" spans="1:10">
      <c r="A148" s="9" t="str">
        <f t="shared" si="53"/>
        <v>Groundnut</v>
      </c>
      <c r="B148" s="9"/>
      <c r="C148" s="32"/>
      <c r="D148" s="19">
        <f>(C80*(1-'5.Closing Stock &amp; W Capital'!$D$15))*$C$148*D$124</f>
        <v>0</v>
      </c>
      <c r="E148" s="19">
        <f>((D80*(1-'5.Closing Stock &amp; W Capital'!$D$15))+(C80*'5.Closing Stock &amp; W Capital'!$D$15))*$C$148*E$124</f>
        <v>0</v>
      </c>
      <c r="F148" s="19">
        <f>((E80*(1-'5.Closing Stock &amp; W Capital'!$D$15))+(D80*'5.Closing Stock &amp; W Capital'!$D$15))*$C$148*F$124</f>
        <v>0</v>
      </c>
      <c r="G148" s="19">
        <f>((F80*(1-'5.Closing Stock &amp; W Capital'!$D$15))+(E80*'5.Closing Stock &amp; W Capital'!$D$15))*$C$148*G$124</f>
        <v>0</v>
      </c>
      <c r="H148" s="19">
        <f>((G80*(1-'5.Closing Stock &amp; W Capital'!$D$15))+(F80*'5.Closing Stock &amp; W Capital'!$D$15))*$C$148*H$124</f>
        <v>0</v>
      </c>
      <c r="I148" s="19">
        <f>((H80*(1-'5.Closing Stock &amp; W Capital'!$D$15))+(G80*'5.Closing Stock &amp; W Capital'!$D$15))*$C$148*I$124</f>
        <v>0</v>
      </c>
      <c r="J148" s="19">
        <f>((I80*(1-'5.Closing Stock &amp; W Capital'!$D$15))+(H80*'5.Closing Stock &amp; W Capital'!$D$15))*$C$148*J$124</f>
        <v>0</v>
      </c>
    </row>
    <row r="149" spans="1:10">
      <c r="A149" s="9">
        <f t="shared" si="53"/>
        <v>0</v>
      </c>
      <c r="B149" s="9"/>
      <c r="C149" s="32"/>
      <c r="D149" s="19">
        <f>(C81*(1-'5.Closing Stock &amp; W Capital'!$D$15))*$C$149*D$124</f>
        <v>0</v>
      </c>
      <c r="E149" s="19">
        <f>((D81*(1-'5.Closing Stock &amp; W Capital'!$D$15))+(C81*'5.Closing Stock &amp; W Capital'!$D$15))*$C$149*E$124</f>
        <v>0</v>
      </c>
      <c r="F149" s="19">
        <f>((E81*(1-'5.Closing Stock &amp; W Capital'!$D$15))+(D81*'5.Closing Stock &amp; W Capital'!$D$15))*$C$149*F$124</f>
        <v>0</v>
      </c>
      <c r="G149" s="19">
        <f>((F81*(1-'5.Closing Stock &amp; W Capital'!$D$15))+(E81*'5.Closing Stock &amp; W Capital'!$D$15))*$C$149*G$124</f>
        <v>0</v>
      </c>
      <c r="H149" s="19">
        <f>((G81*(1-'5.Closing Stock &amp; W Capital'!$D$15))+(F81*'5.Closing Stock &amp; W Capital'!$D$15))*$C$149*H$124</f>
        <v>0</v>
      </c>
      <c r="I149" s="19">
        <f>((H81*(1-'5.Closing Stock &amp; W Capital'!$D$15))+(G81*'5.Closing Stock &amp; W Capital'!$D$15))*$C$149*I$124</f>
        <v>0</v>
      </c>
      <c r="J149" s="19">
        <f>((I81*(1-'5.Closing Stock &amp; W Capital'!$D$15))+(H81*'5.Closing Stock &amp; W Capital'!$D$15))*$C$149*J$124</f>
        <v>0</v>
      </c>
    </row>
    <row r="150" spans="1:10">
      <c r="A150" s="9">
        <f t="shared" si="53"/>
        <v>0</v>
      </c>
      <c r="B150" s="9"/>
      <c r="C150" s="32"/>
      <c r="D150" s="19">
        <f>(C82*(1-'5.Closing Stock &amp; W Capital'!$D$15))*$C$150*D$124</f>
        <v>0</v>
      </c>
      <c r="E150" s="19">
        <f>((D82*(1-'5.Closing Stock &amp; W Capital'!$D$15))+(C82*'5.Closing Stock &amp; W Capital'!$D$15))*$C$150*E$124</f>
        <v>0</v>
      </c>
      <c r="F150" s="19">
        <f>((E82*(1-'5.Closing Stock &amp; W Capital'!$D$15))+(D82*'5.Closing Stock &amp; W Capital'!$D$15))*$C$150*F$124</f>
        <v>0</v>
      </c>
      <c r="G150" s="19">
        <f>((F82*(1-'5.Closing Stock &amp; W Capital'!$D$15))+(E82*'5.Closing Stock &amp; W Capital'!$D$15))*$C$150*G$124</f>
        <v>0</v>
      </c>
      <c r="H150" s="19">
        <f>((G82*(1-'5.Closing Stock &amp; W Capital'!$D$15))+(F82*'5.Closing Stock &amp; W Capital'!$D$15))*$C$150*H$124</f>
        <v>0</v>
      </c>
      <c r="I150" s="19">
        <f>((H82*(1-'5.Closing Stock &amp; W Capital'!$D$15))+(G82*'5.Closing Stock &amp; W Capital'!$D$15))*$C$150*I$124</f>
        <v>0</v>
      </c>
      <c r="J150" s="19">
        <f>((I82*(1-'5.Closing Stock &amp; W Capital'!$D$15))+(H82*'5.Closing Stock &amp; W Capital'!$D$15))*$C$150*J$124</f>
        <v>0</v>
      </c>
    </row>
    <row r="151" spans="1:10">
      <c r="A151" s="9">
        <f t="shared" si="53"/>
        <v>0</v>
      </c>
      <c r="B151" s="9"/>
      <c r="C151" s="32"/>
      <c r="D151" s="19">
        <f>(C83*(1-'5.Closing Stock &amp; W Capital'!$D$15))*$C$151*D$124</f>
        <v>0</v>
      </c>
      <c r="E151" s="19">
        <f>((D83*(1-'5.Closing Stock &amp; W Capital'!$D$15))+(C83*'5.Closing Stock &amp; W Capital'!$D$15))*$C$151*E$124</f>
        <v>0</v>
      </c>
      <c r="F151" s="19">
        <f>((E83*(1-'5.Closing Stock &amp; W Capital'!$D$15))+(D83*'5.Closing Stock &amp; W Capital'!$D$15))*$C$151*F$124</f>
        <v>0</v>
      </c>
      <c r="G151" s="19">
        <f>((F83*(1-'5.Closing Stock &amp; W Capital'!$D$15))+(E83*'5.Closing Stock &amp; W Capital'!$D$15))*$C$151*G$124</f>
        <v>0</v>
      </c>
      <c r="H151" s="19">
        <f>((G83*(1-'5.Closing Stock &amp; W Capital'!$D$15))+(F83*'5.Closing Stock &amp; W Capital'!$D$15))*$C$151*H$124</f>
        <v>0</v>
      </c>
      <c r="I151" s="19">
        <f>((H83*(1-'5.Closing Stock &amp; W Capital'!$D$15))+(G83*'5.Closing Stock &amp; W Capital'!$D$15))*$C$151*I$124</f>
        <v>0</v>
      </c>
      <c r="J151" s="19">
        <f>((I83*(1-'5.Closing Stock &amp; W Capital'!$D$15))+(H83*'5.Closing Stock &amp; W Capital'!$D$15))*$C$151*J$124</f>
        <v>0</v>
      </c>
    </row>
    <row r="152" spans="1:10">
      <c r="A152" s="9">
        <f t="shared" si="53"/>
        <v>0</v>
      </c>
      <c r="B152" s="9"/>
      <c r="C152" s="32"/>
      <c r="D152" s="19">
        <f>(C84*(1-'5.Closing Stock &amp; W Capital'!$D$15))*$C$152*D$124</f>
        <v>0</v>
      </c>
      <c r="E152" s="19">
        <f>((D84*(1-'5.Closing Stock &amp; W Capital'!$D$15))+(C84*'5.Closing Stock &amp; W Capital'!$D$15))*$C$152*E$124</f>
        <v>0</v>
      </c>
      <c r="F152" s="19">
        <f>((E84*(1-'5.Closing Stock &amp; W Capital'!$D$15))+(D84*'5.Closing Stock &amp; W Capital'!$D$15))*$C$152*F$124</f>
        <v>0</v>
      </c>
      <c r="G152" s="19">
        <f>((F84*(1-'5.Closing Stock &amp; W Capital'!$D$15))+(E84*'5.Closing Stock &amp; W Capital'!$D$15))*$C$152*G$124</f>
        <v>0</v>
      </c>
      <c r="H152" s="19">
        <f>((G84*(1-'5.Closing Stock &amp; W Capital'!$D$15))+(F84*'5.Closing Stock &amp; W Capital'!$D$15))*$C$152*H$124</f>
        <v>0</v>
      </c>
      <c r="I152" s="19">
        <f>((H84*(1-'5.Closing Stock &amp; W Capital'!$D$15))+(G84*'5.Closing Stock &amp; W Capital'!$D$15))*$C$152*I$124</f>
        <v>0</v>
      </c>
      <c r="J152" s="19">
        <f>((I84*(1-'5.Closing Stock &amp; W Capital'!$D$15))+(H84*'5.Closing Stock &amp; W Capital'!$D$15))*$C$152*J$124</f>
        <v>0</v>
      </c>
    </row>
    <row r="153" spans="1:10">
      <c r="A153" s="9" t="str">
        <f t="shared" si="53"/>
        <v>Fruit  &amp; Vegetables Crop Production Details</v>
      </c>
      <c r="B153" s="9"/>
      <c r="C153" s="32"/>
      <c r="D153" s="19"/>
      <c r="E153" s="19"/>
      <c r="F153" s="19"/>
      <c r="G153" s="19"/>
      <c r="H153" s="19"/>
      <c r="I153" s="19"/>
      <c r="J153" s="19"/>
    </row>
    <row r="154" spans="1:10">
      <c r="A154" s="9" t="str">
        <f t="shared" si="53"/>
        <v>Onion</v>
      </c>
      <c r="B154" s="9"/>
      <c r="C154" s="32"/>
      <c r="D154" s="19">
        <f>(C86*(1-'5.Closing Stock &amp; W Capital'!$D$15))*$C154*D$124</f>
        <v>0</v>
      </c>
      <c r="E154" s="19">
        <f>((D86*(1-'5.Closing Stock &amp; W Capital'!$D$15))+(C86*'5.Closing Stock &amp; W Capital'!$D$15))*$C154*E$124</f>
        <v>0</v>
      </c>
      <c r="F154" s="19">
        <f>((E86*(1-'5.Closing Stock &amp; W Capital'!$D$15))+(D86*'5.Closing Stock &amp; W Capital'!$D$15))*$C$152*F$124</f>
        <v>0</v>
      </c>
      <c r="G154" s="19">
        <f>((F86*(1-'5.Closing Stock &amp; W Capital'!$D$15))+(E86*'5.Closing Stock &amp; W Capital'!$D$15))*$C$152*G$124</f>
        <v>0</v>
      </c>
      <c r="H154" s="19">
        <f>((G86*(1-'5.Closing Stock &amp; W Capital'!$D$15))+(F86*'5.Closing Stock &amp; W Capital'!$D$15))*$C$152*H$124</f>
        <v>0</v>
      </c>
      <c r="I154" s="19">
        <f>((H86*(1-'5.Closing Stock &amp; W Capital'!$D$15))+(G86*'5.Closing Stock &amp; W Capital'!$D$15))*$C$152*I$124</f>
        <v>0</v>
      </c>
      <c r="J154" s="19">
        <f>((I86*(1-'5.Closing Stock &amp; W Capital'!$D$15))+(H86*'5.Closing Stock &amp; W Capital'!$D$15))*$C$152*J$124</f>
        <v>0</v>
      </c>
    </row>
    <row r="155" spans="1:10">
      <c r="A155" s="9" t="str">
        <f t="shared" si="53"/>
        <v>Tomato</v>
      </c>
      <c r="B155" s="9"/>
      <c r="C155" s="32"/>
      <c r="D155" s="19">
        <f>(C87*(1-'5.Closing Stock &amp; W Capital'!$D$15))*$C155*D$124</f>
        <v>0</v>
      </c>
      <c r="E155" s="19">
        <f>((D87*(1-'5.Closing Stock &amp; W Capital'!$D$15))+(C87*'5.Closing Stock &amp; W Capital'!$D$15))*$C155*E$124</f>
        <v>0</v>
      </c>
      <c r="F155" s="19">
        <f>((E87*(1-'5.Closing Stock &amp; W Capital'!$D$15))+(D87*'5.Closing Stock &amp; W Capital'!$D$15))*$C$152*F$124</f>
        <v>0</v>
      </c>
      <c r="G155" s="19">
        <f>((F87*(1-'5.Closing Stock &amp; W Capital'!$D$15))+(E87*'5.Closing Stock &amp; W Capital'!$D$15))*$C$152*G$124</f>
        <v>0</v>
      </c>
      <c r="H155" s="19">
        <f>((G87*(1-'5.Closing Stock &amp; W Capital'!$D$15))+(F87*'5.Closing Stock &amp; W Capital'!$D$15))*$C$152*H$124</f>
        <v>0</v>
      </c>
      <c r="I155" s="19">
        <f>((H87*(1-'5.Closing Stock &amp; W Capital'!$D$15))+(G87*'5.Closing Stock &amp; W Capital'!$D$15))*$C$152*I$124</f>
        <v>0</v>
      </c>
      <c r="J155" s="19">
        <f>((I87*(1-'5.Closing Stock &amp; W Capital'!$D$15))+(H87*'5.Closing Stock &amp; W Capital'!$D$15))*$C$152*J$124</f>
        <v>0</v>
      </c>
    </row>
    <row r="156" spans="1:10">
      <c r="A156" s="9" t="str">
        <f t="shared" si="53"/>
        <v>Okra</v>
      </c>
      <c r="B156" s="9"/>
      <c r="C156" s="32"/>
      <c r="D156" s="19">
        <f>(C88*(1-'5.Closing Stock &amp; W Capital'!$D$15))*$C156*D$124</f>
        <v>0</v>
      </c>
      <c r="E156" s="19">
        <f>((D88*(1-'5.Closing Stock &amp; W Capital'!$D$15))+(C88*'5.Closing Stock &amp; W Capital'!$D$15))*$C156*E$124</f>
        <v>0</v>
      </c>
      <c r="F156" s="19">
        <f>((E88*(1-'5.Closing Stock &amp; W Capital'!$D$15))+(D88*'5.Closing Stock &amp; W Capital'!$D$15))*$C$152*F$124</f>
        <v>0</v>
      </c>
      <c r="G156" s="19">
        <f>((F88*(1-'5.Closing Stock &amp; W Capital'!$D$15))+(E88*'5.Closing Stock &amp; W Capital'!$D$15))*$C$152*G$124</f>
        <v>0</v>
      </c>
      <c r="H156" s="19">
        <f>((G88*(1-'5.Closing Stock &amp; W Capital'!$D$15))+(F88*'5.Closing Stock &amp; W Capital'!$D$15))*$C$152*H$124</f>
        <v>0</v>
      </c>
      <c r="I156" s="19">
        <f>((H88*(1-'5.Closing Stock &amp; W Capital'!$D$15))+(G88*'5.Closing Stock &amp; W Capital'!$D$15))*$C$152*I$124</f>
        <v>0</v>
      </c>
      <c r="J156" s="19">
        <f>((I88*(1-'5.Closing Stock &amp; W Capital'!$D$15))+(H88*'5.Closing Stock &amp; W Capital'!$D$15))*$C$152*J$124</f>
        <v>0</v>
      </c>
    </row>
    <row r="157" spans="1:10">
      <c r="A157" s="9" t="str">
        <f t="shared" si="53"/>
        <v>Chilli</v>
      </c>
      <c r="B157" s="9"/>
      <c r="C157" s="32"/>
      <c r="D157" s="19">
        <f>(C89*(1-'5.Closing Stock &amp; W Capital'!$D$15))*$C157*D$124</f>
        <v>0</v>
      </c>
      <c r="E157" s="19">
        <f>((D89*(1-'5.Closing Stock &amp; W Capital'!$D$15))+(C89*'5.Closing Stock &amp; W Capital'!$D$15))*$C157*E$124</f>
        <v>0</v>
      </c>
      <c r="F157" s="19">
        <f>((E89*(1-'5.Closing Stock &amp; W Capital'!$D$15))+(D89*'5.Closing Stock &amp; W Capital'!$D$15))*$C$152*F$124</f>
        <v>0</v>
      </c>
      <c r="G157" s="19">
        <f>((F89*(1-'5.Closing Stock &amp; W Capital'!$D$15))+(E89*'5.Closing Stock &amp; W Capital'!$D$15))*$C$152*G$124</f>
        <v>0</v>
      </c>
      <c r="H157" s="19">
        <f>((G89*(1-'5.Closing Stock &amp; W Capital'!$D$15))+(F89*'5.Closing Stock &amp; W Capital'!$D$15))*$C$152*H$124</f>
        <v>0</v>
      </c>
      <c r="I157" s="19">
        <f>((H89*(1-'5.Closing Stock &amp; W Capital'!$D$15))+(G89*'5.Closing Stock &amp; W Capital'!$D$15))*$C$152*I$124</f>
        <v>0</v>
      </c>
      <c r="J157" s="19">
        <f>((I89*(1-'5.Closing Stock &amp; W Capital'!$D$15))+(H89*'5.Closing Stock &amp; W Capital'!$D$15))*$C$152*J$124</f>
        <v>0</v>
      </c>
    </row>
    <row r="158" spans="1:10">
      <c r="A158" s="9" t="str">
        <f t="shared" si="53"/>
        <v>Potato</v>
      </c>
      <c r="B158" s="9"/>
      <c r="C158" s="32"/>
      <c r="D158" s="19">
        <f>(C90*(1-'5.Closing Stock &amp; W Capital'!$D$15))*$C158*D$124</f>
        <v>0</v>
      </c>
      <c r="E158" s="19">
        <f>((D90*(1-'5.Closing Stock &amp; W Capital'!$D$15))+(C90*'5.Closing Stock &amp; W Capital'!$D$15))*$C158*E$124</f>
        <v>0</v>
      </c>
      <c r="F158" s="19">
        <f>((E90*(1-'5.Closing Stock &amp; W Capital'!$D$15))+(D90*'5.Closing Stock &amp; W Capital'!$D$15))*$C$152*F$124</f>
        <v>0</v>
      </c>
      <c r="G158" s="19">
        <f>((F90*(1-'5.Closing Stock &amp; W Capital'!$D$15))+(E90*'5.Closing Stock &amp; W Capital'!$D$15))*$C$152*G$124</f>
        <v>0</v>
      </c>
      <c r="H158" s="19">
        <f>((G90*(1-'5.Closing Stock &amp; W Capital'!$D$15))+(F90*'5.Closing Stock &amp; W Capital'!$D$15))*$C$152*H$124</f>
        <v>0</v>
      </c>
      <c r="I158" s="19">
        <f>((H90*(1-'5.Closing Stock &amp; W Capital'!$D$15))+(G90*'5.Closing Stock &amp; W Capital'!$D$15))*$C$152*I$124</f>
        <v>0</v>
      </c>
      <c r="J158" s="19">
        <f>((I90*(1-'5.Closing Stock &amp; W Capital'!$D$15))+(H90*'5.Closing Stock &amp; W Capital'!$D$15))*$C$152*J$124</f>
        <v>0</v>
      </c>
    </row>
    <row r="159" spans="1:10">
      <c r="A159" s="9">
        <f t="shared" si="53"/>
        <v>0</v>
      </c>
      <c r="B159" s="9"/>
      <c r="C159" s="32"/>
      <c r="D159" s="19">
        <f>(C91*(1-'5.Closing Stock &amp; W Capital'!$D$15))*$C159*D$124</f>
        <v>0</v>
      </c>
      <c r="E159" s="19">
        <f>((D91*(1-'5.Closing Stock &amp; W Capital'!$D$15))+(C91*'5.Closing Stock &amp; W Capital'!$D$15))*$C159*E$124</f>
        <v>0</v>
      </c>
      <c r="F159" s="19">
        <f>((E91*(1-'5.Closing Stock &amp; W Capital'!$D$15))+(D91*'5.Closing Stock &amp; W Capital'!$D$15))*$C$152*F$124</f>
        <v>0</v>
      </c>
      <c r="G159" s="19">
        <f>((F91*(1-'5.Closing Stock &amp; W Capital'!$D$15))+(E91*'5.Closing Stock &amp; W Capital'!$D$15))*$C$152*G$124</f>
        <v>0</v>
      </c>
      <c r="H159" s="19">
        <f>((G91*(1-'5.Closing Stock &amp; W Capital'!$D$15))+(F91*'5.Closing Stock &amp; W Capital'!$D$15))*$C$152*H$124</f>
        <v>0</v>
      </c>
      <c r="I159" s="19">
        <f>((H91*(1-'5.Closing Stock &amp; W Capital'!$D$15))+(G91*'5.Closing Stock &amp; W Capital'!$D$15))*$C$152*I$124</f>
        <v>0</v>
      </c>
      <c r="J159" s="19">
        <f>((I91*(1-'5.Closing Stock &amp; W Capital'!$D$15))+(H91*'5.Closing Stock &amp; W Capital'!$D$15))*$C$152*J$124</f>
        <v>0</v>
      </c>
    </row>
    <row r="160" spans="1:10">
      <c r="A160" s="9">
        <f t="shared" si="53"/>
        <v>0</v>
      </c>
      <c r="B160" s="9"/>
      <c r="C160" s="32"/>
      <c r="D160" s="19">
        <f>(C92*(1-'5.Closing Stock &amp; W Capital'!$D$15))*$C160*D$124</f>
        <v>0</v>
      </c>
      <c r="E160" s="19">
        <f>((D92*(1-'5.Closing Stock &amp; W Capital'!$D$15))+(C92*'5.Closing Stock &amp; W Capital'!$D$15))*$C160*E$124</f>
        <v>0</v>
      </c>
      <c r="F160" s="19">
        <f>((E92*(1-'5.Closing Stock &amp; W Capital'!$D$15))+(D92*'5.Closing Stock &amp; W Capital'!$D$15))*$C$152*F$124</f>
        <v>0</v>
      </c>
      <c r="G160" s="19">
        <f>((F92*(1-'5.Closing Stock &amp; W Capital'!$D$15))+(E92*'5.Closing Stock &amp; W Capital'!$D$15))*$C$152*G$124</f>
        <v>0</v>
      </c>
      <c r="H160" s="19">
        <f>((G92*(1-'5.Closing Stock &amp; W Capital'!$D$15))+(F92*'5.Closing Stock &amp; W Capital'!$D$15))*$C$152*H$124</f>
        <v>0</v>
      </c>
      <c r="I160" s="19">
        <f>((H92*(1-'5.Closing Stock &amp; W Capital'!$D$15))+(G92*'5.Closing Stock &amp; W Capital'!$D$15))*$C$152*I$124</f>
        <v>0</v>
      </c>
      <c r="J160" s="19">
        <f>((I92*(1-'5.Closing Stock &amp; W Capital'!$D$15))+(H92*'5.Closing Stock &amp; W Capital'!$D$15))*$C$152*J$124</f>
        <v>0</v>
      </c>
    </row>
    <row r="161" spans="1:10">
      <c r="A161" s="9">
        <f t="shared" ref="A161:A179" si="54">A40</f>
        <v>0</v>
      </c>
      <c r="B161" s="9"/>
      <c r="C161" s="32"/>
      <c r="D161" s="19">
        <f>(C93*(1-'5.Closing Stock &amp; W Capital'!$D$15))*$C161*D$124</f>
        <v>0</v>
      </c>
      <c r="E161" s="19">
        <f>((D93*(1-'5.Closing Stock &amp; W Capital'!$D$15))+(C93*'5.Closing Stock &amp; W Capital'!$D$15))*$C161*E$124</f>
        <v>0</v>
      </c>
      <c r="F161" s="19">
        <f>((E93*(1-'5.Closing Stock &amp; W Capital'!$D$15))+(D93*'5.Closing Stock &amp; W Capital'!$D$15))*$C$152*F$124</f>
        <v>0</v>
      </c>
      <c r="G161" s="19">
        <f>((F93*(1-'5.Closing Stock &amp; W Capital'!$D$15))+(E93*'5.Closing Stock &amp; W Capital'!$D$15))*$C$152*G$124</f>
        <v>0</v>
      </c>
      <c r="H161" s="19">
        <f>((G93*(1-'5.Closing Stock &amp; W Capital'!$D$15))+(F93*'5.Closing Stock &amp; W Capital'!$D$15))*$C$152*H$124</f>
        <v>0</v>
      </c>
      <c r="I161" s="19">
        <f>((H93*(1-'5.Closing Stock &amp; W Capital'!$D$15))+(G93*'5.Closing Stock &amp; W Capital'!$D$15))*$C$152*I$124</f>
        <v>0</v>
      </c>
      <c r="J161" s="19">
        <f>((I93*(1-'5.Closing Stock &amp; W Capital'!$D$15))+(H93*'5.Closing Stock &amp; W Capital'!$D$15))*$C$152*J$124</f>
        <v>0</v>
      </c>
    </row>
    <row r="162" spans="1:10">
      <c r="A162" s="9">
        <f t="shared" si="54"/>
        <v>0</v>
      </c>
      <c r="B162" s="9"/>
      <c r="C162" s="32"/>
      <c r="D162" s="19">
        <f>(C94*(1-'5.Closing Stock &amp; W Capital'!$D$15))*$C162*D$124</f>
        <v>0</v>
      </c>
      <c r="E162" s="19">
        <f>((D94*(1-'5.Closing Stock &amp; W Capital'!$D$15))+(C94*'5.Closing Stock &amp; W Capital'!$D$15))*$C162*E$124</f>
        <v>0</v>
      </c>
      <c r="F162" s="19">
        <f>((E94*(1-'5.Closing Stock &amp; W Capital'!$D$15))+(D94*'5.Closing Stock &amp; W Capital'!$D$15))*$C$152*F$124</f>
        <v>0</v>
      </c>
      <c r="G162" s="19">
        <f>((F94*(1-'5.Closing Stock &amp; W Capital'!$D$15))+(E94*'5.Closing Stock &amp; W Capital'!$D$15))*$C$152*G$124</f>
        <v>0</v>
      </c>
      <c r="H162" s="19">
        <f>((G94*(1-'5.Closing Stock &amp; W Capital'!$D$15))+(F94*'5.Closing Stock &amp; W Capital'!$D$15))*$C$152*H$124</f>
        <v>0</v>
      </c>
      <c r="I162" s="19">
        <f>((H94*(1-'5.Closing Stock &amp; W Capital'!$D$15))+(G94*'5.Closing Stock &amp; W Capital'!$D$15))*$C$152*I$124</f>
        <v>0</v>
      </c>
      <c r="J162" s="19">
        <f>((I94*(1-'5.Closing Stock &amp; W Capital'!$D$15))+(H94*'5.Closing Stock &amp; W Capital'!$D$15))*$C$152*J$124</f>
        <v>0</v>
      </c>
    </row>
    <row r="163" spans="1:10">
      <c r="A163" s="9" t="str">
        <f t="shared" si="54"/>
        <v>Onion</v>
      </c>
      <c r="B163" s="9"/>
      <c r="C163" s="32"/>
      <c r="D163" s="19">
        <f>(C95*(1-'5.Closing Stock &amp; W Capital'!$D$15))*$C163*D$124</f>
        <v>0</v>
      </c>
      <c r="E163" s="19">
        <f>((D95*(1-'5.Closing Stock &amp; W Capital'!$D$15))+(C95*'5.Closing Stock &amp; W Capital'!$D$15))*$C163*E$124</f>
        <v>0</v>
      </c>
      <c r="F163" s="19">
        <f>((E95*(1-'5.Closing Stock &amp; W Capital'!$D$15))+(D95*'5.Closing Stock &amp; W Capital'!$D$15))*$C$152*F$124</f>
        <v>0</v>
      </c>
      <c r="G163" s="19">
        <f>((F95*(1-'5.Closing Stock &amp; W Capital'!$D$15))+(E95*'5.Closing Stock &amp; W Capital'!$D$15))*$C$152*G$124</f>
        <v>0</v>
      </c>
      <c r="H163" s="19">
        <f>((G95*(1-'5.Closing Stock &amp; W Capital'!$D$15))+(F95*'5.Closing Stock &amp; W Capital'!$D$15))*$C$152*H$124</f>
        <v>0</v>
      </c>
      <c r="I163" s="19">
        <f>((H95*(1-'5.Closing Stock &amp; W Capital'!$D$15))+(G95*'5.Closing Stock &amp; W Capital'!$D$15))*$C$152*I$124</f>
        <v>0</v>
      </c>
      <c r="J163" s="19">
        <f>((I95*(1-'5.Closing Stock &amp; W Capital'!$D$15))+(H95*'5.Closing Stock &amp; W Capital'!$D$15))*$C$152*J$124</f>
        <v>0</v>
      </c>
    </row>
    <row r="164" spans="1:10">
      <c r="A164" s="9" t="str">
        <f t="shared" si="54"/>
        <v>Tomato</v>
      </c>
      <c r="B164" s="9"/>
      <c r="C164" s="32"/>
      <c r="D164" s="19">
        <f>(C96*(1-'5.Closing Stock &amp; W Capital'!$D$15))*$C164*D$124</f>
        <v>0</v>
      </c>
      <c r="E164" s="19">
        <f>((D96*(1-'5.Closing Stock &amp; W Capital'!$D$15))+(C96*'5.Closing Stock &amp; W Capital'!$D$15))*$C164*E$124</f>
        <v>0</v>
      </c>
      <c r="F164" s="19">
        <f>((E96*(1-'5.Closing Stock &amp; W Capital'!$D$15))+(D96*'5.Closing Stock &amp; W Capital'!$D$15))*$C$152*F$124</f>
        <v>0</v>
      </c>
      <c r="G164" s="19">
        <f>((F96*(1-'5.Closing Stock &amp; W Capital'!$D$15))+(E96*'5.Closing Stock &amp; W Capital'!$D$15))*$C$152*G$124</f>
        <v>0</v>
      </c>
      <c r="H164" s="19">
        <f>((G96*(1-'5.Closing Stock &amp; W Capital'!$D$15))+(F96*'5.Closing Stock &amp; W Capital'!$D$15))*$C$152*H$124</f>
        <v>0</v>
      </c>
      <c r="I164" s="19">
        <f>((H96*(1-'5.Closing Stock &amp; W Capital'!$D$15))+(G96*'5.Closing Stock &amp; W Capital'!$D$15))*$C$152*I$124</f>
        <v>0</v>
      </c>
      <c r="J164" s="19">
        <f>((I96*(1-'5.Closing Stock &amp; W Capital'!$D$15))+(H96*'5.Closing Stock &amp; W Capital'!$D$15))*$C$152*J$124</f>
        <v>0</v>
      </c>
    </row>
    <row r="165" spans="1:10">
      <c r="A165" s="9" t="str">
        <f t="shared" si="54"/>
        <v>Okra</v>
      </c>
      <c r="B165" s="9"/>
      <c r="C165" s="32"/>
      <c r="D165" s="19">
        <f>(C97*(1-'5.Closing Stock &amp; W Capital'!$D$15))*$C165*D$124</f>
        <v>0</v>
      </c>
      <c r="E165" s="19">
        <f>((D97*(1-'5.Closing Stock &amp; W Capital'!$D$15))+(C97*'5.Closing Stock &amp; W Capital'!$D$15))*$C165*E$124</f>
        <v>0</v>
      </c>
      <c r="F165" s="19">
        <f>((E97*(1-'5.Closing Stock &amp; W Capital'!$D$15))+(D97*'5.Closing Stock &amp; W Capital'!$D$15))*$C$152*F$124</f>
        <v>0</v>
      </c>
      <c r="G165" s="19">
        <f>((F97*(1-'5.Closing Stock &amp; W Capital'!$D$15))+(E97*'5.Closing Stock &amp; W Capital'!$D$15))*$C$152*G$124</f>
        <v>0</v>
      </c>
      <c r="H165" s="19">
        <f>((G97*(1-'5.Closing Stock &amp; W Capital'!$D$15))+(F97*'5.Closing Stock &amp; W Capital'!$D$15))*$C$152*H$124</f>
        <v>0</v>
      </c>
      <c r="I165" s="19">
        <f>((H97*(1-'5.Closing Stock &amp; W Capital'!$D$15))+(G97*'5.Closing Stock &amp; W Capital'!$D$15))*$C$152*I$124</f>
        <v>0</v>
      </c>
      <c r="J165" s="19">
        <f>((I97*(1-'5.Closing Stock &amp; W Capital'!$D$15))+(H97*'5.Closing Stock &amp; W Capital'!$D$15))*$C$152*J$124</f>
        <v>0</v>
      </c>
    </row>
    <row r="166" spans="1:10">
      <c r="A166" s="9" t="str">
        <f t="shared" si="54"/>
        <v>Chilli</v>
      </c>
      <c r="B166" s="9"/>
      <c r="C166" s="32"/>
      <c r="D166" s="19">
        <f>(C98*(1-'5.Closing Stock &amp; W Capital'!$D$15))*$C166*D$124</f>
        <v>0</v>
      </c>
      <c r="E166" s="19">
        <f>((D98*(1-'5.Closing Stock &amp; W Capital'!$D$15))+(C98*'5.Closing Stock &amp; W Capital'!$D$15))*$C166*E$124</f>
        <v>0</v>
      </c>
      <c r="F166" s="19">
        <f>((E98*(1-'5.Closing Stock &amp; W Capital'!$D$15))+(D98*'5.Closing Stock &amp; W Capital'!$D$15))*$C$152*F$124</f>
        <v>0</v>
      </c>
      <c r="G166" s="19">
        <f>((F98*(1-'5.Closing Stock &amp; W Capital'!$D$15))+(E98*'5.Closing Stock &amp; W Capital'!$D$15))*$C$152*G$124</f>
        <v>0</v>
      </c>
      <c r="H166" s="19">
        <f>((G98*(1-'5.Closing Stock &amp; W Capital'!$D$15))+(F98*'5.Closing Stock &amp; W Capital'!$D$15))*$C$152*H$124</f>
        <v>0</v>
      </c>
      <c r="I166" s="19">
        <f>((H98*(1-'5.Closing Stock &amp; W Capital'!$D$15))+(G98*'5.Closing Stock &amp; W Capital'!$D$15))*$C$152*I$124</f>
        <v>0</v>
      </c>
      <c r="J166" s="19">
        <f>((I98*(1-'5.Closing Stock &amp; W Capital'!$D$15))+(H98*'5.Closing Stock &amp; W Capital'!$D$15))*$C$152*J$124</f>
        <v>0</v>
      </c>
    </row>
    <row r="167" spans="1:10">
      <c r="A167" s="9" t="str">
        <f t="shared" si="54"/>
        <v>Brinjal</v>
      </c>
      <c r="B167" s="9"/>
      <c r="C167" s="32"/>
      <c r="D167" s="19">
        <f>(C99*(1-'5.Closing Stock &amp; W Capital'!$D$15))*$C167*D$124</f>
        <v>0</v>
      </c>
      <c r="E167" s="19">
        <f>((D99*(1-'5.Closing Stock &amp; W Capital'!$D$15))+(C99*'5.Closing Stock &amp; W Capital'!$D$15))*$C167*E$124</f>
        <v>0</v>
      </c>
      <c r="F167" s="19">
        <f>((E99*(1-'5.Closing Stock &amp; W Capital'!$D$15))+(D99*'5.Closing Stock &amp; W Capital'!$D$15))*$C$152*F$124</f>
        <v>0</v>
      </c>
      <c r="G167" s="19">
        <f>((F99*(1-'5.Closing Stock &amp; W Capital'!$D$15))+(E99*'5.Closing Stock &amp; W Capital'!$D$15))*$C$152*G$124</f>
        <v>0</v>
      </c>
      <c r="H167" s="19">
        <f>((G99*(1-'5.Closing Stock &amp; W Capital'!$D$15))+(F99*'5.Closing Stock &amp; W Capital'!$D$15))*$C$152*H$124</f>
        <v>0</v>
      </c>
      <c r="I167" s="19">
        <f>((H99*(1-'5.Closing Stock &amp; W Capital'!$D$15))+(G99*'5.Closing Stock &amp; W Capital'!$D$15))*$C$152*I$124</f>
        <v>0</v>
      </c>
      <c r="J167" s="19">
        <f>((I99*(1-'5.Closing Stock &amp; W Capital'!$D$15))+(H99*'5.Closing Stock &amp; W Capital'!$D$15))*$C$152*J$124</f>
        <v>0</v>
      </c>
    </row>
    <row r="168" spans="1:10">
      <c r="A168" s="9" t="str">
        <f t="shared" si="54"/>
        <v>Cashew</v>
      </c>
      <c r="B168" s="9"/>
      <c r="C168" s="32"/>
      <c r="D168" s="19">
        <f>(C100*(1-'5.Closing Stock &amp; W Capital'!$D$15))*$C168*D$124</f>
        <v>0</v>
      </c>
      <c r="E168" s="19">
        <f>((D100*(1-'5.Closing Stock &amp; W Capital'!$D$15))+(C100*'5.Closing Stock &amp; W Capital'!$D$15))*$C168*E$124</f>
        <v>0</v>
      </c>
      <c r="F168" s="19">
        <f>((E100*(1-'5.Closing Stock &amp; W Capital'!$D$15))+(D100*'5.Closing Stock &amp; W Capital'!$D$15))*$C$152*F$124</f>
        <v>0</v>
      </c>
      <c r="G168" s="19">
        <f>((F100*(1-'5.Closing Stock &amp; W Capital'!$D$15))+(E100*'5.Closing Stock &amp; W Capital'!$D$15))*$C$152*G$124</f>
        <v>0</v>
      </c>
      <c r="H168" s="19">
        <f>((G100*(1-'5.Closing Stock &amp; W Capital'!$D$15))+(F100*'5.Closing Stock &amp; W Capital'!$D$15))*$C$152*H$124</f>
        <v>0</v>
      </c>
      <c r="I168" s="19">
        <f>((H100*(1-'5.Closing Stock &amp; W Capital'!$D$15))+(G100*'5.Closing Stock &amp; W Capital'!$D$15))*$C$152*I$124</f>
        <v>0</v>
      </c>
      <c r="J168" s="19">
        <f>((I100*(1-'5.Closing Stock &amp; W Capital'!$D$15))+(H100*'5.Closing Stock &amp; W Capital'!$D$15))*$C$152*J$124</f>
        <v>0</v>
      </c>
    </row>
    <row r="169" spans="1:10">
      <c r="A169" s="9">
        <f t="shared" si="54"/>
        <v>0</v>
      </c>
      <c r="B169" s="9"/>
      <c r="C169" s="32"/>
      <c r="D169" s="19">
        <f>(C101*(1-'5.Closing Stock &amp; W Capital'!$D$15))*$C169*D$124</f>
        <v>0</v>
      </c>
      <c r="E169" s="19">
        <f>((D101*(1-'5.Closing Stock &amp; W Capital'!$D$15))+(C101*'5.Closing Stock &amp; W Capital'!$D$15))*$C169*E$124</f>
        <v>0</v>
      </c>
      <c r="F169" s="19">
        <f>((E101*(1-'5.Closing Stock &amp; W Capital'!$D$15))+(D101*'5.Closing Stock &amp; W Capital'!$D$15))*$C$152*F$124</f>
        <v>0</v>
      </c>
      <c r="G169" s="19">
        <f>((F101*(1-'5.Closing Stock &amp; W Capital'!$D$15))+(E101*'5.Closing Stock &amp; W Capital'!$D$15))*$C$152*G$124</f>
        <v>0</v>
      </c>
      <c r="H169" s="19">
        <f>((G101*(1-'5.Closing Stock &amp; W Capital'!$D$15))+(F101*'5.Closing Stock &amp; W Capital'!$D$15))*$C$152*H$124</f>
        <v>0</v>
      </c>
      <c r="I169" s="19">
        <f>((H101*(1-'5.Closing Stock &amp; W Capital'!$D$15))+(G101*'5.Closing Stock &amp; W Capital'!$D$15))*$C$152*I$124</f>
        <v>0</v>
      </c>
      <c r="J169" s="19">
        <f>((I101*(1-'5.Closing Stock &amp; W Capital'!$D$15))+(H101*'5.Closing Stock &amp; W Capital'!$D$15))*$C$152*J$124</f>
        <v>0</v>
      </c>
    </row>
    <row r="170" spans="1:10">
      <c r="A170" s="9">
        <f t="shared" si="54"/>
        <v>0</v>
      </c>
      <c r="B170" s="9"/>
      <c r="C170" s="32"/>
      <c r="D170" s="19">
        <f>(C102*(1-'5.Closing Stock &amp; W Capital'!$D$15))*$C170*D$124</f>
        <v>0</v>
      </c>
      <c r="E170" s="19">
        <f>((D102*(1-'5.Closing Stock &amp; W Capital'!$D$15))+(C102*'5.Closing Stock &amp; W Capital'!$D$15))*$C170*E$124</f>
        <v>0</v>
      </c>
      <c r="F170" s="19">
        <f>((E102*(1-'5.Closing Stock &amp; W Capital'!$D$15))+(D102*'5.Closing Stock &amp; W Capital'!$D$15))*$C$152*F$124</f>
        <v>0</v>
      </c>
      <c r="G170" s="19">
        <f>((F102*(1-'5.Closing Stock &amp; W Capital'!$D$15))+(E102*'5.Closing Stock &amp; W Capital'!$D$15))*$C$152*G$124</f>
        <v>0</v>
      </c>
      <c r="H170" s="19">
        <f>((G102*(1-'5.Closing Stock &amp; W Capital'!$D$15))+(F102*'5.Closing Stock &amp; W Capital'!$D$15))*$C$152*H$124</f>
        <v>0</v>
      </c>
      <c r="I170" s="19">
        <f>((H102*(1-'5.Closing Stock &amp; W Capital'!$D$15))+(G102*'5.Closing Stock &amp; W Capital'!$D$15))*$C$152*I$124</f>
        <v>0</v>
      </c>
      <c r="J170" s="19">
        <f>((I102*(1-'5.Closing Stock &amp; W Capital'!$D$15))+(H102*'5.Closing Stock &amp; W Capital'!$D$15))*$C$152*J$124</f>
        <v>0</v>
      </c>
    </row>
    <row r="171" spans="1:10">
      <c r="A171" s="9">
        <f t="shared" si="54"/>
        <v>0</v>
      </c>
      <c r="B171" s="9"/>
      <c r="C171" s="32"/>
      <c r="D171" s="19">
        <f>(C103*(1-'5.Closing Stock &amp; W Capital'!$D$15))*$C171*D$124</f>
        <v>0</v>
      </c>
      <c r="E171" s="19">
        <f>((D103*(1-'5.Closing Stock &amp; W Capital'!$D$15))+(C103*'5.Closing Stock &amp; W Capital'!$D$15))*$C171*E$124</f>
        <v>0</v>
      </c>
      <c r="F171" s="19">
        <f>((E103*(1-'5.Closing Stock &amp; W Capital'!$D$15))+(D103*'5.Closing Stock &amp; W Capital'!$D$15))*$C$152*F$124</f>
        <v>0</v>
      </c>
      <c r="G171" s="19">
        <f>((F103*(1-'5.Closing Stock &amp; W Capital'!$D$15))+(E103*'5.Closing Stock &amp; W Capital'!$D$15))*$C$152*G$124</f>
        <v>0</v>
      </c>
      <c r="H171" s="19">
        <f>((G103*(1-'5.Closing Stock &amp; W Capital'!$D$15))+(F103*'5.Closing Stock &amp; W Capital'!$D$15))*$C$152*H$124</f>
        <v>0</v>
      </c>
      <c r="I171" s="19">
        <f>((H103*(1-'5.Closing Stock &amp; W Capital'!$D$15))+(G103*'5.Closing Stock &amp; W Capital'!$D$15))*$C$152*I$124</f>
        <v>0</v>
      </c>
      <c r="J171" s="19">
        <f>((I103*(1-'5.Closing Stock &amp; W Capital'!$D$15))+(H103*'5.Closing Stock &amp; W Capital'!$D$15))*$C$152*J$124</f>
        <v>0</v>
      </c>
    </row>
    <row r="172" spans="1:10">
      <c r="A172" s="9">
        <f t="shared" si="54"/>
        <v>0</v>
      </c>
      <c r="B172" s="9"/>
      <c r="C172" s="32"/>
      <c r="D172" s="19">
        <f>(C104*(1-'5.Closing Stock &amp; W Capital'!$D$15))*$C172*D$124</f>
        <v>0</v>
      </c>
      <c r="E172" s="19">
        <f>((D104*(1-'5.Closing Stock &amp; W Capital'!$D$15))+(C104*'5.Closing Stock &amp; W Capital'!$D$15))*$C172*E$124</f>
        <v>0</v>
      </c>
      <c r="F172" s="19">
        <f>((E104*(1-'5.Closing Stock &amp; W Capital'!$D$15))+(D104*'5.Closing Stock &amp; W Capital'!$D$15))*$C$152*F$124</f>
        <v>0</v>
      </c>
      <c r="G172" s="19">
        <f>((F104*(1-'5.Closing Stock &amp; W Capital'!$D$15))+(E104*'5.Closing Stock &amp; W Capital'!$D$15))*$C$152*G$124</f>
        <v>0</v>
      </c>
      <c r="H172" s="19">
        <f>((G104*(1-'5.Closing Stock &amp; W Capital'!$D$15))+(F104*'5.Closing Stock &amp; W Capital'!$D$15))*$C$152*H$124</f>
        <v>0</v>
      </c>
      <c r="I172" s="19">
        <f>((H104*(1-'5.Closing Stock &amp; W Capital'!$D$15))+(G104*'5.Closing Stock &amp; W Capital'!$D$15))*$C$152*I$124</f>
        <v>0</v>
      </c>
      <c r="J172" s="19">
        <f>((I104*(1-'5.Closing Stock &amp; W Capital'!$D$15))+(H104*'5.Closing Stock &amp; W Capital'!$D$15))*$C$152*J$124</f>
        <v>0</v>
      </c>
    </row>
    <row r="173" spans="1:10">
      <c r="A173" s="9">
        <f t="shared" si="54"/>
        <v>0</v>
      </c>
      <c r="B173" s="9"/>
      <c r="C173" s="32"/>
      <c r="D173" s="19">
        <f>(C105*(1-'5.Closing Stock &amp; W Capital'!$D$15))*$C173*D$124</f>
        <v>0</v>
      </c>
      <c r="E173" s="19">
        <f>((D105*(1-'5.Closing Stock &amp; W Capital'!$D$15))+(C105*'5.Closing Stock &amp; W Capital'!$D$15))*$C173*E$124</f>
        <v>0</v>
      </c>
      <c r="F173" s="19">
        <f>((E105*(1-'5.Closing Stock &amp; W Capital'!$D$15))+(D105*'5.Closing Stock &amp; W Capital'!$D$15))*$C$152*F$124</f>
        <v>0</v>
      </c>
      <c r="G173" s="19">
        <f>((F105*(1-'5.Closing Stock &amp; W Capital'!$D$15))+(E105*'5.Closing Stock &amp; W Capital'!$D$15))*$C$152*G$124</f>
        <v>0</v>
      </c>
      <c r="H173" s="19">
        <f>((G105*(1-'5.Closing Stock &amp; W Capital'!$D$15))+(F105*'5.Closing Stock &amp; W Capital'!$D$15))*$C$152*H$124</f>
        <v>0</v>
      </c>
      <c r="I173" s="19">
        <f>((H105*(1-'5.Closing Stock &amp; W Capital'!$D$15))+(G105*'5.Closing Stock &amp; W Capital'!$D$15))*$C$152*I$124</f>
        <v>0</v>
      </c>
      <c r="J173" s="19">
        <f>((I105*(1-'5.Closing Stock &amp; W Capital'!$D$15))+(H105*'5.Closing Stock &amp; W Capital'!$D$15))*$C$152*J$124</f>
        <v>0</v>
      </c>
    </row>
    <row r="174" spans="1:10">
      <c r="A174" s="9">
        <f t="shared" si="54"/>
        <v>0</v>
      </c>
      <c r="B174" s="9"/>
      <c r="C174" s="32"/>
      <c r="D174" s="19">
        <f>(C106*(1-'5.Closing Stock &amp; W Capital'!$D$15))*$C174*D$124</f>
        <v>0</v>
      </c>
      <c r="E174" s="19">
        <f>((D106*(1-'5.Closing Stock &amp; W Capital'!$D$15))+(C106*'5.Closing Stock &amp; W Capital'!$D$15))*$C174*E$124</f>
        <v>0</v>
      </c>
      <c r="F174" s="19">
        <f>((E106*(1-'5.Closing Stock &amp; W Capital'!$D$15))+(D106*'5.Closing Stock &amp; W Capital'!$D$15))*$C$152*F$124</f>
        <v>0</v>
      </c>
      <c r="G174" s="19">
        <f>((F106*(1-'5.Closing Stock &amp; W Capital'!$D$15))+(E106*'5.Closing Stock &amp; W Capital'!$D$15))*$C$152*G$124</f>
        <v>0</v>
      </c>
      <c r="H174" s="19">
        <f>((G106*(1-'5.Closing Stock &amp; W Capital'!$D$15))+(F106*'5.Closing Stock &amp; W Capital'!$D$15))*$C$152*H$124</f>
        <v>0</v>
      </c>
      <c r="I174" s="19">
        <f>((H106*(1-'5.Closing Stock &amp; W Capital'!$D$15))+(G106*'5.Closing Stock &amp; W Capital'!$D$15))*$C$152*I$124</f>
        <v>0</v>
      </c>
      <c r="J174" s="19">
        <f>((I106*(1-'5.Closing Stock &amp; W Capital'!$D$15))+(H106*'5.Closing Stock &amp; W Capital'!$D$15))*$C$152*J$124</f>
        <v>0</v>
      </c>
    </row>
    <row r="175" spans="1:10">
      <c r="A175" s="9" t="str">
        <f t="shared" si="54"/>
        <v>Cashew</v>
      </c>
      <c r="B175" s="9"/>
      <c r="C175" s="32"/>
      <c r="D175" s="19">
        <f>(C107*(1-'5.Closing Stock &amp; W Capital'!$D$15))*$C175*D$124</f>
        <v>0</v>
      </c>
      <c r="E175" s="19">
        <f>((D107*(1-'5.Closing Stock &amp; W Capital'!$D$15))+(C107*'5.Closing Stock &amp; W Capital'!$D$15))*$C175*E$124</f>
        <v>0</v>
      </c>
      <c r="F175" s="19">
        <f>((E107*(1-'5.Closing Stock &amp; W Capital'!$D$15))+(D107*'5.Closing Stock &amp; W Capital'!$D$15))*$C$152*F$124</f>
        <v>0</v>
      </c>
      <c r="G175" s="19">
        <f>((F107*(1-'5.Closing Stock &amp; W Capital'!$D$15))+(E107*'5.Closing Stock &amp; W Capital'!$D$15))*$C$152*G$124</f>
        <v>0</v>
      </c>
      <c r="H175" s="19">
        <f>((G107*(1-'5.Closing Stock &amp; W Capital'!$D$15))+(F107*'5.Closing Stock &amp; W Capital'!$D$15))*$C$152*H$124</f>
        <v>0</v>
      </c>
      <c r="I175" s="19">
        <f>((H107*(1-'5.Closing Stock &amp; W Capital'!$D$15))+(G107*'5.Closing Stock &amp; W Capital'!$D$15))*$C$152*I$124</f>
        <v>0</v>
      </c>
      <c r="J175" s="19">
        <f>((I107*(1-'5.Closing Stock &amp; W Capital'!$D$15))+(H107*'5.Closing Stock &amp; W Capital'!$D$15))*$C$152*J$124</f>
        <v>0</v>
      </c>
    </row>
    <row r="176" spans="1:10">
      <c r="A176" s="9" t="str">
        <f t="shared" si="54"/>
        <v>Custard Apple</v>
      </c>
      <c r="B176" s="9"/>
      <c r="C176" s="32"/>
      <c r="D176" s="19">
        <f>(C108*(1-'5.Closing Stock &amp; W Capital'!$D$15))*$C176*D$124</f>
        <v>0</v>
      </c>
      <c r="E176" s="19">
        <f>((D108*(1-'5.Closing Stock &amp; W Capital'!$D$15))+(C108*'5.Closing Stock &amp; W Capital'!$D$15))*$C176*E$124</f>
        <v>0</v>
      </c>
      <c r="F176" s="19">
        <f>((E108*(1-'5.Closing Stock &amp; W Capital'!$D$15))+(D108*'5.Closing Stock &amp; W Capital'!$D$15))*$C$152*F$124</f>
        <v>0</v>
      </c>
      <c r="G176" s="19">
        <f>((F108*(1-'5.Closing Stock &amp; W Capital'!$D$15))+(E108*'5.Closing Stock &amp; W Capital'!$D$15))*$C$152*G$124</f>
        <v>0</v>
      </c>
      <c r="H176" s="19">
        <f>((G108*(1-'5.Closing Stock &amp; W Capital'!$D$15))+(F108*'5.Closing Stock &amp; W Capital'!$D$15))*$C$152*H$124</f>
        <v>0</v>
      </c>
      <c r="I176" s="19">
        <f>((H108*(1-'5.Closing Stock &amp; W Capital'!$D$15))+(G108*'5.Closing Stock &amp; W Capital'!$D$15))*$C$152*I$124</f>
        <v>0</v>
      </c>
      <c r="J176" s="19">
        <f>((I108*(1-'5.Closing Stock &amp; W Capital'!$D$15))+(H108*'5.Closing Stock &amp; W Capital'!$D$15))*$C$152*J$124</f>
        <v>0</v>
      </c>
    </row>
    <row r="177" spans="1:23">
      <c r="A177" s="9" t="str">
        <f t="shared" si="54"/>
        <v>Guava</v>
      </c>
      <c r="B177" s="9"/>
      <c r="C177" s="32"/>
      <c r="D177" s="19">
        <f>(C109*(1-'5.Closing Stock &amp; W Capital'!$D$15))*$C177*D$124</f>
        <v>0</v>
      </c>
      <c r="E177" s="19">
        <f>((D109*(1-'5.Closing Stock &amp; W Capital'!$D$15))+(C109*'5.Closing Stock &amp; W Capital'!$D$15))*$C177*E$124</f>
        <v>0</v>
      </c>
      <c r="F177" s="19">
        <f>((E109*(1-'5.Closing Stock &amp; W Capital'!$D$15))+(D109*'5.Closing Stock &amp; W Capital'!$D$15))*$C$152*F$124</f>
        <v>0</v>
      </c>
      <c r="G177" s="19">
        <f>((F109*(1-'5.Closing Stock &amp; W Capital'!$D$15))+(E109*'5.Closing Stock &amp; W Capital'!$D$15))*$C$152*G$124</f>
        <v>0</v>
      </c>
      <c r="H177" s="19">
        <f>((G109*(1-'5.Closing Stock &amp; W Capital'!$D$15))+(F109*'5.Closing Stock &amp; W Capital'!$D$15))*$C$152*H$124</f>
        <v>0</v>
      </c>
      <c r="I177" s="19">
        <f>((H109*(1-'5.Closing Stock &amp; W Capital'!$D$15))+(G109*'5.Closing Stock &amp; W Capital'!$D$15))*$C$152*I$124</f>
        <v>0</v>
      </c>
      <c r="J177" s="19">
        <f>((I109*(1-'5.Closing Stock &amp; W Capital'!$D$15))+(H109*'5.Closing Stock &amp; W Capital'!$D$15))*$C$152*J$124</f>
        <v>0</v>
      </c>
    </row>
    <row r="178" spans="1:23">
      <c r="A178" s="9" t="str">
        <f t="shared" si="54"/>
        <v>Citrus</v>
      </c>
      <c r="B178" s="9"/>
      <c r="C178" s="32"/>
      <c r="D178" s="19">
        <f>(C110*(1-'5.Closing Stock &amp; W Capital'!$D$15))*$C178*D$124</f>
        <v>0</v>
      </c>
      <c r="E178" s="19">
        <f>((D110*(1-'5.Closing Stock &amp; W Capital'!$D$15))+(C110*'5.Closing Stock &amp; W Capital'!$D$15))*$C178*E$124</f>
        <v>0</v>
      </c>
      <c r="F178" s="19">
        <f>((E110*(1-'5.Closing Stock &amp; W Capital'!$D$15))+(D110*'5.Closing Stock &amp; W Capital'!$D$15))*$C$152*F$124</f>
        <v>0</v>
      </c>
      <c r="G178" s="19">
        <f>((F110*(1-'5.Closing Stock &amp; W Capital'!$D$15))+(E110*'5.Closing Stock &amp; W Capital'!$D$15))*$C$152*G$124</f>
        <v>0</v>
      </c>
      <c r="H178" s="19">
        <f>((G110*(1-'5.Closing Stock &amp; W Capital'!$D$15))+(F110*'5.Closing Stock &amp; W Capital'!$D$15))*$C$152*H$124</f>
        <v>0</v>
      </c>
      <c r="I178" s="19">
        <f>((H110*(1-'5.Closing Stock &amp; W Capital'!$D$15))+(G110*'5.Closing Stock &amp; W Capital'!$D$15))*$C$152*I$124</f>
        <v>0</v>
      </c>
      <c r="J178" s="19">
        <f>((I110*(1-'5.Closing Stock &amp; W Capital'!$D$15))+(H110*'5.Closing Stock &amp; W Capital'!$D$15))*$C$152*J$124</f>
        <v>0</v>
      </c>
    </row>
    <row r="179" spans="1:23">
      <c r="A179" s="9">
        <f t="shared" si="54"/>
        <v>0</v>
      </c>
      <c r="B179" s="9"/>
      <c r="C179" s="32"/>
      <c r="D179" s="19"/>
      <c r="E179" s="19"/>
      <c r="F179" s="19"/>
      <c r="G179" s="19"/>
      <c r="H179" s="19"/>
      <c r="I179" s="19"/>
      <c r="J179" s="19"/>
    </row>
    <row r="180" spans="1:23">
      <c r="A180" s="9"/>
      <c r="B180" s="9"/>
      <c r="C180" s="19"/>
      <c r="D180" s="19"/>
      <c r="E180" s="19"/>
      <c r="F180" s="19"/>
      <c r="G180" s="19"/>
      <c r="H180" s="19"/>
      <c r="I180" s="19"/>
      <c r="J180" s="19"/>
    </row>
    <row r="181" spans="1:23">
      <c r="A181" s="9" t="s">
        <v>674</v>
      </c>
      <c r="B181" s="9"/>
      <c r="C181" s="19"/>
      <c r="D181" s="19"/>
      <c r="E181" s="19"/>
      <c r="F181" s="19"/>
      <c r="G181" s="19"/>
      <c r="H181" s="19"/>
      <c r="I181" s="19"/>
      <c r="J181" s="19"/>
    </row>
    <row r="182" spans="1:23">
      <c r="A182" s="9" t="s">
        <v>666</v>
      </c>
      <c r="B182" s="9"/>
      <c r="C182" s="32">
        <v>0</v>
      </c>
      <c r="D182" s="19">
        <f>(C114*(1-'5.Closing Stock &amp; W Capital'!$D$15))*$C$182*D124</f>
        <v>0</v>
      </c>
      <c r="E182" s="19">
        <f>((D114*(1-'5.Closing Stock &amp; W Capital'!$D$15))+(C114*'5.Closing Stock &amp; W Capital'!$D$15))*$C$182*E124</f>
        <v>0</v>
      </c>
      <c r="F182" s="19">
        <f>((E114*(1-'5.Closing Stock &amp; W Capital'!$D$15))+(D114*'5.Closing Stock &amp; W Capital'!$D$15))*$C$182*F124</f>
        <v>0</v>
      </c>
      <c r="G182" s="19">
        <f>((F114*(1-'5.Closing Stock &amp; W Capital'!$D$15))+(E114*'5.Closing Stock &amp; W Capital'!$D$15))*$C$182*G124</f>
        <v>0</v>
      </c>
      <c r="H182" s="19">
        <f>((G114*(1-'5.Closing Stock &amp; W Capital'!$D$15))+(F114*'5.Closing Stock &amp; W Capital'!$D$15))*$C$182*H124</f>
        <v>0</v>
      </c>
      <c r="I182" s="19">
        <f>((H114*(1-'5.Closing Stock &amp; W Capital'!$D$15))+(G114*'5.Closing Stock &amp; W Capital'!$D$15))*$C$182*I124</f>
        <v>0</v>
      </c>
      <c r="J182" s="19">
        <f>((I114*(1-'5.Closing Stock &amp; W Capital'!$D$15))+(H114*'5.Closing Stock &amp; W Capital'!$D$15))*$C$182*J124</f>
        <v>0</v>
      </c>
    </row>
    <row r="183" spans="1:23">
      <c r="A183" s="9" t="s">
        <v>667</v>
      </c>
      <c r="B183" s="9"/>
      <c r="C183" s="32">
        <v>0</v>
      </c>
      <c r="D183" s="19">
        <f>(C115*(1-'5.Closing Stock &amp; W Capital'!$D$15))*$C$183*D124</f>
        <v>0</v>
      </c>
      <c r="E183" s="19">
        <f>((D115*(1-'5.Closing Stock &amp; W Capital'!$D$15))+(C115*'5.Closing Stock &amp; W Capital'!$D$15))*$C$183*E124</f>
        <v>0</v>
      </c>
      <c r="F183" s="19">
        <f>((E115*(1-'5.Closing Stock &amp; W Capital'!$D$15))+(D115*'5.Closing Stock &amp; W Capital'!$D$15))*$C$183*F124</f>
        <v>0</v>
      </c>
      <c r="G183" s="19">
        <f>((F115*(1-'5.Closing Stock &amp; W Capital'!$D$15))+(E115*'5.Closing Stock &amp; W Capital'!$D$15))*$C$183*G124</f>
        <v>0</v>
      </c>
      <c r="H183" s="19">
        <f>((G115*(1-'5.Closing Stock &amp; W Capital'!$D$15))+(F115*'5.Closing Stock &amp; W Capital'!$D$15))*$C$183*H124</f>
        <v>0</v>
      </c>
      <c r="I183" s="19">
        <f>((H115*(1-'5.Closing Stock &amp; W Capital'!$D$15))+(G115*'5.Closing Stock &amp; W Capital'!$D$15))*$C$183*I124</f>
        <v>0</v>
      </c>
      <c r="J183" s="19">
        <f>((I115*(1-'5.Closing Stock &amp; W Capital'!$D$15))+(H115*'5.Closing Stock &amp; W Capital'!$D$15))*$C$183*J124</f>
        <v>0</v>
      </c>
    </row>
    <row r="184" spans="1:23">
      <c r="A184" s="9" t="s">
        <v>668</v>
      </c>
      <c r="B184" s="9"/>
      <c r="C184" s="32">
        <v>0</v>
      </c>
      <c r="D184" s="19">
        <f>(C116*(1-'5.Closing Stock &amp; W Capital'!$D$15))*$C$184*D124</f>
        <v>0</v>
      </c>
      <c r="E184" s="19">
        <f>((D116*(1-'5.Closing Stock &amp; W Capital'!$D$15))+(C116*'5.Closing Stock &amp; W Capital'!$D$15))*$C$184*E124</f>
        <v>0</v>
      </c>
      <c r="F184" s="19">
        <f>((E116*(1-'5.Closing Stock &amp; W Capital'!$D$15))+(D116*'5.Closing Stock &amp; W Capital'!$D$15))*$C$184*F124</f>
        <v>0</v>
      </c>
      <c r="G184" s="19">
        <f>((F116*(1-'5.Closing Stock &amp; W Capital'!$D$15))+(E116*'5.Closing Stock &amp; W Capital'!$D$15))*$C$184*G124</f>
        <v>0</v>
      </c>
      <c r="H184" s="19">
        <f>((G116*(1-'5.Closing Stock &amp; W Capital'!$D$15))+(F116*'5.Closing Stock &amp; W Capital'!$D$15))*$C$184*H124</f>
        <v>0</v>
      </c>
      <c r="I184" s="19">
        <f>((H116*(1-'5.Closing Stock &amp; W Capital'!$D$15))+(G116*'5.Closing Stock &amp; W Capital'!$D$15))*$C$184*I124</f>
        <v>0</v>
      </c>
      <c r="J184" s="19">
        <f>((I116*(1-'5.Closing Stock &amp; W Capital'!$D$15))+(H116*'5.Closing Stock &amp; W Capital'!$D$15))*$C$184*J124</f>
        <v>0</v>
      </c>
    </row>
    <row r="185" spans="1:23">
      <c r="A185" s="9"/>
      <c r="B185" s="9"/>
      <c r="C185" s="19"/>
      <c r="D185" s="19"/>
      <c r="E185" s="19"/>
      <c r="F185" s="19"/>
      <c r="G185" s="19"/>
      <c r="H185" s="19"/>
      <c r="I185" s="19"/>
      <c r="J185" s="19"/>
    </row>
    <row r="186" spans="1:23">
      <c r="A186" s="9" t="s">
        <v>669</v>
      </c>
      <c r="B186" s="9"/>
      <c r="C186" s="19"/>
      <c r="D186" s="19"/>
      <c r="E186" s="19"/>
      <c r="F186" s="19"/>
      <c r="G186" s="19"/>
      <c r="H186" s="19"/>
      <c r="I186" s="19"/>
      <c r="J186" s="19"/>
    </row>
    <row r="187" spans="1:23">
      <c r="A187" s="9" t="s">
        <v>670</v>
      </c>
      <c r="B187" s="9"/>
      <c r="C187" s="32">
        <v>0</v>
      </c>
      <c r="D187" s="19">
        <f>(C118*(1-'5.Closing Stock &amp; W Capital'!$D$15))*$C$187*D124</f>
        <v>0</v>
      </c>
      <c r="E187" s="19">
        <f>((D118*(1-'5.Closing Stock &amp; W Capital'!$D$15))+(C118*'5.Closing Stock &amp; W Capital'!$D$15))*$C$187*E124</f>
        <v>0</v>
      </c>
      <c r="F187" s="19">
        <f>((E118*(1-'5.Closing Stock &amp; W Capital'!$D$15))+(D118*'5.Closing Stock &amp; W Capital'!$D$15))*$C$187*F124</f>
        <v>0</v>
      </c>
      <c r="G187" s="19">
        <f>((F118*(1-'5.Closing Stock &amp; W Capital'!$D$15))+(E118*'5.Closing Stock &amp; W Capital'!$D$15))*$C$187*G124</f>
        <v>0</v>
      </c>
      <c r="H187" s="19">
        <f>((G118*(1-'5.Closing Stock &amp; W Capital'!$D$15))+(F118*'5.Closing Stock &amp; W Capital'!$D$15))*$C$187*H124</f>
        <v>0</v>
      </c>
      <c r="I187" s="19">
        <f>((H118*(1-'5.Closing Stock &amp; W Capital'!$D$15))+(G118*'5.Closing Stock &amp; W Capital'!$D$15))*$C$187*I124</f>
        <v>0</v>
      </c>
      <c r="J187" s="19">
        <f>((I118*(1-'5.Closing Stock &amp; W Capital'!$D$15))+(H118*'5.Closing Stock &amp; W Capital'!$D$15))*$C$187*J124</f>
        <v>0</v>
      </c>
      <c r="U187" s="2"/>
      <c r="V187" s="2"/>
      <c r="W187" s="2"/>
    </row>
    <row r="188" spans="1:23">
      <c r="A188" s="9" t="s">
        <v>671</v>
      </c>
      <c r="B188" s="9"/>
      <c r="C188" s="32">
        <v>0</v>
      </c>
      <c r="D188" s="19">
        <f>(C119*(1-'5.Closing Stock &amp; W Capital'!$D$15))*$C$188*D124</f>
        <v>0</v>
      </c>
      <c r="E188" s="19">
        <f>((D119*(1-'5.Closing Stock &amp; W Capital'!$D$15))+(C119*'5.Closing Stock &amp; W Capital'!$D$15))*$C$188*E124</f>
        <v>0</v>
      </c>
      <c r="F188" s="19">
        <f>((E119*(1-'5.Closing Stock &amp; W Capital'!$D$15))+(D119*'5.Closing Stock &amp; W Capital'!$D$15))*$C$188*F124</f>
        <v>0</v>
      </c>
      <c r="G188" s="19">
        <f>((F119*(1-'5.Closing Stock &amp; W Capital'!$D$15))+(E119*'5.Closing Stock &amp; W Capital'!$D$15))*$C$188*G124</f>
        <v>0</v>
      </c>
      <c r="H188" s="19">
        <f>((G119*(1-'5.Closing Stock &amp; W Capital'!$D$15))+(F119*'5.Closing Stock &amp; W Capital'!$D$15))*$C$188*H124</f>
        <v>0</v>
      </c>
      <c r="I188" s="19">
        <f>((H119*(1-'5.Closing Stock &amp; W Capital'!$D$15))+(G119*'5.Closing Stock &amp; W Capital'!$D$15))*$C$188*I124</f>
        <v>0</v>
      </c>
      <c r="J188" s="19">
        <f>((I119*(1-'5.Closing Stock &amp; W Capital'!$D$15))+(H119*'5.Closing Stock &amp; W Capital'!$D$15))*$C$188*J124</f>
        <v>0</v>
      </c>
    </row>
    <row r="189" spans="1:23">
      <c r="A189" s="9"/>
      <c r="B189" s="9"/>
      <c r="C189" s="19"/>
      <c r="D189" s="19"/>
      <c r="E189" s="19"/>
      <c r="F189" s="19"/>
      <c r="G189" s="19"/>
      <c r="H189" s="19"/>
      <c r="I189" s="19"/>
      <c r="J189" s="19"/>
    </row>
    <row r="190" spans="1:23">
      <c r="A190" s="9"/>
      <c r="B190" s="9"/>
      <c r="C190" s="19"/>
      <c r="D190" s="19"/>
      <c r="E190" s="19"/>
      <c r="F190" s="19"/>
      <c r="G190" s="19"/>
      <c r="H190" s="19"/>
      <c r="I190" s="19"/>
      <c r="J190" s="19"/>
    </row>
    <row r="191" spans="1:23">
      <c r="A191" s="16" t="s">
        <v>344</v>
      </c>
      <c r="B191" s="16"/>
      <c r="C191" s="18"/>
      <c r="D191" s="18">
        <f t="shared" ref="D191:J191" si="55">SUM(D130:D188)</f>
        <v>0</v>
      </c>
      <c r="E191" s="18">
        <f t="shared" si="55"/>
        <v>0</v>
      </c>
      <c r="F191" s="18">
        <f t="shared" si="55"/>
        <v>0</v>
      </c>
      <c r="G191" s="18">
        <f t="shared" si="55"/>
        <v>0</v>
      </c>
      <c r="H191" s="18">
        <f t="shared" si="55"/>
        <v>0</v>
      </c>
      <c r="I191" s="18">
        <f t="shared" si="55"/>
        <v>0</v>
      </c>
      <c r="J191" s="18">
        <f t="shared" si="55"/>
        <v>0</v>
      </c>
    </row>
    <row r="192" spans="1:23">
      <c r="A192" s="9"/>
      <c r="B192" s="9"/>
      <c r="C192" s="19"/>
      <c r="D192" s="19"/>
      <c r="E192" s="19"/>
      <c r="F192" s="19"/>
      <c r="G192" s="19"/>
      <c r="H192" s="19"/>
      <c r="I192" s="19"/>
      <c r="J192" s="19"/>
    </row>
    <row r="193" spans="1:10">
      <c r="A193" s="9"/>
      <c r="B193" s="9"/>
      <c r="C193" s="19"/>
      <c r="D193" s="19"/>
      <c r="E193" s="19"/>
      <c r="F193" s="19"/>
      <c r="G193" s="19"/>
      <c r="H193" s="19"/>
      <c r="I193" s="19"/>
      <c r="J193" s="19"/>
    </row>
    <row r="194" spans="1:10">
      <c r="A194" s="16" t="s">
        <v>576</v>
      </c>
      <c r="B194" s="16"/>
      <c r="C194" s="19"/>
      <c r="D194" s="19"/>
      <c r="E194" s="19"/>
      <c r="F194" s="19"/>
      <c r="G194" s="19"/>
      <c r="H194" s="19"/>
      <c r="I194" s="19"/>
      <c r="J194" s="19"/>
    </row>
    <row r="195" spans="1:10">
      <c r="A195" s="16" t="str">
        <f>A128</f>
        <v>Seeds (Rate/KG)</v>
      </c>
      <c r="B195" s="16"/>
      <c r="C195" s="19"/>
      <c r="D195" s="19"/>
      <c r="E195" s="19"/>
      <c r="F195" s="19"/>
      <c r="G195" s="19"/>
      <c r="H195" s="19"/>
      <c r="I195" s="19"/>
      <c r="J195" s="19"/>
    </row>
    <row r="196" spans="1:10">
      <c r="A196" s="1" t="s">
        <v>345</v>
      </c>
    </row>
    <row r="197" spans="1:10">
      <c r="A197" s="9" t="str">
        <f t="shared" ref="A197:A238" si="56">A130</f>
        <v>Soybean</v>
      </c>
      <c r="C197" s="32">
        <v>85</v>
      </c>
      <c r="D197" s="19">
        <f t="shared" ref="D197:J206" si="57">C62*$C197*D$124</f>
        <v>0</v>
      </c>
      <c r="E197" s="19">
        <f t="shared" si="57"/>
        <v>0</v>
      </c>
      <c r="F197" s="19">
        <f t="shared" si="57"/>
        <v>0</v>
      </c>
      <c r="G197" s="19">
        <f t="shared" si="57"/>
        <v>0</v>
      </c>
      <c r="H197" s="19">
        <f t="shared" si="57"/>
        <v>0</v>
      </c>
      <c r="I197" s="19">
        <f t="shared" si="57"/>
        <v>0</v>
      </c>
      <c r="J197" s="19">
        <f t="shared" si="57"/>
        <v>0</v>
      </c>
    </row>
    <row r="198" spans="1:10">
      <c r="A198" s="9" t="str">
        <f t="shared" si="56"/>
        <v>Red Gram/Tur</v>
      </c>
      <c r="B198" s="9"/>
      <c r="C198" s="32">
        <v>75</v>
      </c>
      <c r="D198" s="19">
        <f t="shared" si="57"/>
        <v>0</v>
      </c>
      <c r="E198" s="19">
        <f t="shared" si="57"/>
        <v>0</v>
      </c>
      <c r="F198" s="19">
        <f t="shared" si="57"/>
        <v>0</v>
      </c>
      <c r="G198" s="19">
        <f t="shared" si="57"/>
        <v>0</v>
      </c>
      <c r="H198" s="19">
        <f t="shared" si="57"/>
        <v>0</v>
      </c>
      <c r="I198" s="19">
        <f t="shared" si="57"/>
        <v>0</v>
      </c>
      <c r="J198" s="19">
        <f t="shared" si="57"/>
        <v>0</v>
      </c>
    </row>
    <row r="199" spans="1:10">
      <c r="A199" s="9" t="str">
        <f t="shared" si="56"/>
        <v>Paddy/Rice</v>
      </c>
      <c r="B199" s="9"/>
      <c r="C199" s="32">
        <v>0</v>
      </c>
      <c r="D199" s="19">
        <f t="shared" si="57"/>
        <v>0</v>
      </c>
      <c r="E199" s="19">
        <f t="shared" si="57"/>
        <v>0</v>
      </c>
      <c r="F199" s="19">
        <f t="shared" si="57"/>
        <v>0</v>
      </c>
      <c r="G199" s="19">
        <f t="shared" si="57"/>
        <v>0</v>
      </c>
      <c r="H199" s="19">
        <f t="shared" si="57"/>
        <v>0</v>
      </c>
      <c r="I199" s="19">
        <f t="shared" si="57"/>
        <v>0</v>
      </c>
      <c r="J199" s="19">
        <f t="shared" si="57"/>
        <v>0</v>
      </c>
    </row>
    <row r="200" spans="1:10">
      <c r="A200" s="9" t="str">
        <f t="shared" si="56"/>
        <v>Green Gram/ Moong</v>
      </c>
      <c r="B200" s="9"/>
      <c r="C200" s="32">
        <v>80</v>
      </c>
      <c r="D200" s="19">
        <f t="shared" si="57"/>
        <v>0</v>
      </c>
      <c r="E200" s="19">
        <f t="shared" si="57"/>
        <v>0</v>
      </c>
      <c r="F200" s="19">
        <f t="shared" si="57"/>
        <v>0</v>
      </c>
      <c r="G200" s="19">
        <f t="shared" si="57"/>
        <v>0</v>
      </c>
      <c r="H200" s="19">
        <f t="shared" si="57"/>
        <v>0</v>
      </c>
      <c r="I200" s="19">
        <f t="shared" si="57"/>
        <v>0</v>
      </c>
      <c r="J200" s="19">
        <f t="shared" si="57"/>
        <v>0</v>
      </c>
    </row>
    <row r="201" spans="1:10">
      <c r="A201" s="9" t="str">
        <f t="shared" si="56"/>
        <v>Maize</v>
      </c>
      <c r="B201" s="9"/>
      <c r="C201" s="32">
        <v>25</v>
      </c>
      <c r="D201" s="19">
        <f t="shared" si="57"/>
        <v>0</v>
      </c>
      <c r="E201" s="19">
        <f t="shared" si="57"/>
        <v>0</v>
      </c>
      <c r="F201" s="19">
        <f t="shared" si="57"/>
        <v>0</v>
      </c>
      <c r="G201" s="19">
        <f t="shared" si="57"/>
        <v>0</v>
      </c>
      <c r="H201" s="19">
        <f t="shared" si="57"/>
        <v>0</v>
      </c>
      <c r="I201" s="19">
        <f t="shared" si="57"/>
        <v>0</v>
      </c>
      <c r="J201" s="19">
        <f t="shared" si="57"/>
        <v>0</v>
      </c>
    </row>
    <row r="202" spans="1:10">
      <c r="A202" s="9" t="str">
        <f t="shared" si="56"/>
        <v>Black Gram/Udid</v>
      </c>
      <c r="B202" s="9"/>
      <c r="C202" s="32">
        <v>70</v>
      </c>
      <c r="D202" s="19">
        <f t="shared" si="57"/>
        <v>0</v>
      </c>
      <c r="E202" s="19">
        <f t="shared" si="57"/>
        <v>0</v>
      </c>
      <c r="F202" s="19">
        <f t="shared" si="57"/>
        <v>0</v>
      </c>
      <c r="G202" s="19">
        <f t="shared" si="57"/>
        <v>0</v>
      </c>
      <c r="H202" s="19">
        <f t="shared" si="57"/>
        <v>0</v>
      </c>
      <c r="I202" s="19">
        <f t="shared" si="57"/>
        <v>0</v>
      </c>
      <c r="J202" s="19">
        <f t="shared" si="57"/>
        <v>0</v>
      </c>
    </row>
    <row r="203" spans="1:10">
      <c r="A203" s="9" t="str">
        <f t="shared" si="56"/>
        <v>Bajra</v>
      </c>
      <c r="B203" s="9"/>
      <c r="C203" s="32">
        <v>25</v>
      </c>
      <c r="D203" s="19">
        <f t="shared" si="57"/>
        <v>0</v>
      </c>
      <c r="E203" s="19">
        <f t="shared" si="57"/>
        <v>0</v>
      </c>
      <c r="F203" s="19">
        <f t="shared" si="57"/>
        <v>0</v>
      </c>
      <c r="G203" s="19">
        <f t="shared" si="57"/>
        <v>0</v>
      </c>
      <c r="H203" s="19">
        <f t="shared" si="57"/>
        <v>0</v>
      </c>
      <c r="I203" s="19">
        <f t="shared" si="57"/>
        <v>0</v>
      </c>
      <c r="J203" s="19">
        <f t="shared" si="57"/>
        <v>0</v>
      </c>
    </row>
    <row r="204" spans="1:10">
      <c r="A204" s="9" t="str">
        <f t="shared" si="56"/>
        <v>Jawar</v>
      </c>
      <c r="B204" s="9"/>
      <c r="C204" s="32">
        <v>25</v>
      </c>
      <c r="D204" s="19">
        <f t="shared" si="57"/>
        <v>0</v>
      </c>
      <c r="E204" s="19">
        <f t="shared" si="57"/>
        <v>0</v>
      </c>
      <c r="F204" s="19">
        <f t="shared" si="57"/>
        <v>0</v>
      </c>
      <c r="G204" s="19">
        <f t="shared" si="57"/>
        <v>0</v>
      </c>
      <c r="H204" s="19">
        <f t="shared" si="57"/>
        <v>0</v>
      </c>
      <c r="I204" s="19">
        <f t="shared" si="57"/>
        <v>0</v>
      </c>
      <c r="J204" s="19">
        <f t="shared" si="57"/>
        <v>0</v>
      </c>
    </row>
    <row r="205" spans="1:10">
      <c r="A205" s="16" t="str">
        <f t="shared" si="56"/>
        <v>Rabi Crop</v>
      </c>
      <c r="B205" s="9"/>
      <c r="C205" s="32"/>
      <c r="D205" s="19">
        <f t="shared" si="57"/>
        <v>0</v>
      </c>
      <c r="E205" s="19">
        <f t="shared" si="57"/>
        <v>0</v>
      </c>
      <c r="F205" s="19">
        <f t="shared" si="57"/>
        <v>0</v>
      </c>
      <c r="G205" s="19">
        <f t="shared" si="57"/>
        <v>0</v>
      </c>
      <c r="H205" s="19">
        <f t="shared" si="57"/>
        <v>0</v>
      </c>
      <c r="I205" s="19">
        <f t="shared" si="57"/>
        <v>0</v>
      </c>
      <c r="J205" s="19">
        <f t="shared" si="57"/>
        <v>0</v>
      </c>
    </row>
    <row r="206" spans="1:10">
      <c r="A206" s="9" t="str">
        <f t="shared" si="56"/>
        <v>Wheat</v>
      </c>
      <c r="B206" s="9"/>
      <c r="C206" s="32">
        <v>35</v>
      </c>
      <c r="D206" s="19">
        <f t="shared" si="57"/>
        <v>0</v>
      </c>
      <c r="E206" s="19">
        <f t="shared" si="57"/>
        <v>0</v>
      </c>
      <c r="F206" s="19">
        <f t="shared" si="57"/>
        <v>0</v>
      </c>
      <c r="G206" s="19">
        <f t="shared" si="57"/>
        <v>0</v>
      </c>
      <c r="H206" s="19">
        <f t="shared" si="57"/>
        <v>0</v>
      </c>
      <c r="I206" s="19">
        <f t="shared" si="57"/>
        <v>0</v>
      </c>
      <c r="J206" s="19">
        <f t="shared" si="57"/>
        <v>0</v>
      </c>
    </row>
    <row r="207" spans="1:10">
      <c r="A207" s="9" t="str">
        <f t="shared" si="56"/>
        <v>Bengal Gram/Channa</v>
      </c>
      <c r="B207" s="9"/>
      <c r="C207" s="32">
        <v>70</v>
      </c>
      <c r="D207" s="19">
        <f t="shared" ref="D207:J216" si="58">C72*$C207*D$124</f>
        <v>0</v>
      </c>
      <c r="E207" s="19">
        <f t="shared" si="58"/>
        <v>0</v>
      </c>
      <c r="F207" s="19">
        <f t="shared" si="58"/>
        <v>0</v>
      </c>
      <c r="G207" s="19">
        <f t="shared" si="58"/>
        <v>0</v>
      </c>
      <c r="H207" s="19">
        <f t="shared" si="58"/>
        <v>0</v>
      </c>
      <c r="I207" s="19">
        <f t="shared" si="58"/>
        <v>0</v>
      </c>
      <c r="J207" s="19">
        <f t="shared" si="58"/>
        <v>0</v>
      </c>
    </row>
    <row r="208" spans="1:10">
      <c r="A208" s="9" t="str">
        <f t="shared" si="56"/>
        <v>Jawar</v>
      </c>
      <c r="B208" s="9"/>
      <c r="C208" s="32">
        <v>25</v>
      </c>
      <c r="D208" s="19">
        <f t="shared" si="58"/>
        <v>0</v>
      </c>
      <c r="E208" s="19">
        <f t="shared" si="58"/>
        <v>0</v>
      </c>
      <c r="F208" s="19">
        <f t="shared" si="58"/>
        <v>0</v>
      </c>
      <c r="G208" s="19">
        <f t="shared" si="58"/>
        <v>0</v>
      </c>
      <c r="H208" s="19">
        <f t="shared" si="58"/>
        <v>0</v>
      </c>
      <c r="I208" s="19">
        <f t="shared" si="58"/>
        <v>0</v>
      </c>
      <c r="J208" s="19">
        <f t="shared" si="58"/>
        <v>0</v>
      </c>
    </row>
    <row r="209" spans="1:10">
      <c r="A209" s="9" t="str">
        <f t="shared" si="56"/>
        <v>Maize</v>
      </c>
      <c r="B209" s="9"/>
      <c r="C209" s="32">
        <v>25</v>
      </c>
      <c r="D209" s="19">
        <f t="shared" si="58"/>
        <v>0</v>
      </c>
      <c r="E209" s="19">
        <f t="shared" si="58"/>
        <v>0</v>
      </c>
      <c r="F209" s="19">
        <f t="shared" si="58"/>
        <v>0</v>
      </c>
      <c r="G209" s="19">
        <f t="shared" si="58"/>
        <v>0</v>
      </c>
      <c r="H209" s="19">
        <f t="shared" si="58"/>
        <v>0</v>
      </c>
      <c r="I209" s="19">
        <f t="shared" si="58"/>
        <v>0</v>
      </c>
      <c r="J209" s="19">
        <f t="shared" si="58"/>
        <v>0</v>
      </c>
    </row>
    <row r="210" spans="1:10">
      <c r="A210" s="9" t="str">
        <f t="shared" si="56"/>
        <v>Safflower</v>
      </c>
      <c r="B210" s="9"/>
      <c r="C210" s="32">
        <v>25</v>
      </c>
      <c r="D210" s="19">
        <f t="shared" si="58"/>
        <v>0</v>
      </c>
      <c r="E210" s="19">
        <f t="shared" si="58"/>
        <v>0</v>
      </c>
      <c r="F210" s="19">
        <f t="shared" si="58"/>
        <v>0</v>
      </c>
      <c r="G210" s="19">
        <f t="shared" si="58"/>
        <v>0</v>
      </c>
      <c r="H210" s="19">
        <f t="shared" si="58"/>
        <v>0</v>
      </c>
      <c r="I210" s="19">
        <f t="shared" si="58"/>
        <v>0</v>
      </c>
      <c r="J210" s="19">
        <f t="shared" si="58"/>
        <v>0</v>
      </c>
    </row>
    <row r="211" spans="1:10">
      <c r="A211" s="9">
        <f t="shared" si="56"/>
        <v>0</v>
      </c>
      <c r="B211" s="9"/>
      <c r="C211" s="32"/>
      <c r="D211" s="19">
        <f t="shared" si="58"/>
        <v>0</v>
      </c>
      <c r="E211" s="19">
        <f t="shared" si="58"/>
        <v>0</v>
      </c>
      <c r="F211" s="19">
        <f t="shared" si="58"/>
        <v>0</v>
      </c>
      <c r="G211" s="19">
        <f t="shared" si="58"/>
        <v>0</v>
      </c>
      <c r="H211" s="19">
        <f t="shared" si="58"/>
        <v>0</v>
      </c>
      <c r="I211" s="19">
        <f t="shared" si="58"/>
        <v>0</v>
      </c>
      <c r="J211" s="19">
        <f t="shared" si="58"/>
        <v>0</v>
      </c>
    </row>
    <row r="212" spans="1:10">
      <c r="A212" s="9">
        <f t="shared" si="56"/>
        <v>0</v>
      </c>
      <c r="B212" s="9"/>
      <c r="C212" s="32"/>
      <c r="D212" s="19">
        <f t="shared" si="58"/>
        <v>0</v>
      </c>
      <c r="E212" s="19">
        <f t="shared" si="58"/>
        <v>0</v>
      </c>
      <c r="F212" s="19">
        <f t="shared" si="58"/>
        <v>0</v>
      </c>
      <c r="G212" s="19">
        <f t="shared" si="58"/>
        <v>0</v>
      </c>
      <c r="H212" s="19">
        <f t="shared" si="58"/>
        <v>0</v>
      </c>
      <c r="I212" s="19">
        <f t="shared" si="58"/>
        <v>0</v>
      </c>
      <c r="J212" s="19">
        <f t="shared" si="58"/>
        <v>0</v>
      </c>
    </row>
    <row r="213" spans="1:10">
      <c r="A213" s="9">
        <f t="shared" si="56"/>
        <v>0</v>
      </c>
      <c r="B213" s="9"/>
      <c r="C213" s="32"/>
      <c r="D213" s="19">
        <f t="shared" si="58"/>
        <v>0</v>
      </c>
      <c r="E213" s="19">
        <f t="shared" si="58"/>
        <v>0</v>
      </c>
      <c r="F213" s="19">
        <f t="shared" si="58"/>
        <v>0</v>
      </c>
      <c r="G213" s="19">
        <f t="shared" si="58"/>
        <v>0</v>
      </c>
      <c r="H213" s="19">
        <f t="shared" si="58"/>
        <v>0</v>
      </c>
      <c r="I213" s="19">
        <f t="shared" si="58"/>
        <v>0</v>
      </c>
      <c r="J213" s="19">
        <f t="shared" si="58"/>
        <v>0</v>
      </c>
    </row>
    <row r="214" spans="1:10">
      <c r="A214" s="9" t="str">
        <f t="shared" si="56"/>
        <v>Summer</v>
      </c>
      <c r="B214" s="9"/>
      <c r="C214" s="32"/>
      <c r="D214" s="19">
        <f t="shared" si="58"/>
        <v>0</v>
      </c>
      <c r="E214" s="19">
        <f t="shared" si="58"/>
        <v>0</v>
      </c>
      <c r="F214" s="19">
        <f t="shared" si="58"/>
        <v>0</v>
      </c>
      <c r="G214" s="19">
        <f t="shared" si="58"/>
        <v>0</v>
      </c>
      <c r="H214" s="19">
        <f t="shared" si="58"/>
        <v>0</v>
      </c>
      <c r="I214" s="19">
        <f t="shared" si="58"/>
        <v>0</v>
      </c>
      <c r="J214" s="19">
        <f t="shared" si="58"/>
        <v>0</v>
      </c>
    </row>
    <row r="215" spans="1:10">
      <c r="A215" s="9" t="str">
        <f t="shared" si="56"/>
        <v>Groundnut</v>
      </c>
      <c r="B215" s="9"/>
      <c r="C215" s="32"/>
      <c r="D215" s="19">
        <f t="shared" si="58"/>
        <v>0</v>
      </c>
      <c r="E215" s="19">
        <f t="shared" si="58"/>
        <v>0</v>
      </c>
      <c r="F215" s="19">
        <f t="shared" si="58"/>
        <v>0</v>
      </c>
      <c r="G215" s="19">
        <f t="shared" si="58"/>
        <v>0</v>
      </c>
      <c r="H215" s="19">
        <f t="shared" si="58"/>
        <v>0</v>
      </c>
      <c r="I215" s="19">
        <f t="shared" si="58"/>
        <v>0</v>
      </c>
      <c r="J215" s="19">
        <f t="shared" si="58"/>
        <v>0</v>
      </c>
    </row>
    <row r="216" spans="1:10">
      <c r="A216" s="9">
        <f t="shared" si="56"/>
        <v>0</v>
      </c>
      <c r="B216" s="9"/>
      <c r="C216" s="32"/>
      <c r="D216" s="19">
        <f t="shared" si="58"/>
        <v>0</v>
      </c>
      <c r="E216" s="19">
        <f t="shared" si="58"/>
        <v>0</v>
      </c>
      <c r="F216" s="19">
        <f t="shared" si="58"/>
        <v>0</v>
      </c>
      <c r="G216" s="19">
        <f t="shared" si="58"/>
        <v>0</v>
      </c>
      <c r="H216" s="19">
        <f t="shared" si="58"/>
        <v>0</v>
      </c>
      <c r="I216" s="19">
        <f t="shared" si="58"/>
        <v>0</v>
      </c>
      <c r="J216" s="19">
        <f t="shared" si="58"/>
        <v>0</v>
      </c>
    </row>
    <row r="217" spans="1:10">
      <c r="A217" s="9">
        <f t="shared" si="56"/>
        <v>0</v>
      </c>
      <c r="B217" s="9"/>
      <c r="C217" s="32"/>
      <c r="D217" s="19">
        <f t="shared" ref="D217:J219" si="59">C82*$C217*D$124</f>
        <v>0</v>
      </c>
      <c r="E217" s="19">
        <f t="shared" si="59"/>
        <v>0</v>
      </c>
      <c r="F217" s="19">
        <f t="shared" si="59"/>
        <v>0</v>
      </c>
      <c r="G217" s="19">
        <f t="shared" si="59"/>
        <v>0</v>
      </c>
      <c r="H217" s="19">
        <f t="shared" si="59"/>
        <v>0</v>
      </c>
      <c r="I217" s="19">
        <f t="shared" si="59"/>
        <v>0</v>
      </c>
      <c r="J217" s="19">
        <f t="shared" si="59"/>
        <v>0</v>
      </c>
    </row>
    <row r="218" spans="1:10">
      <c r="A218" s="9">
        <f t="shared" si="56"/>
        <v>0</v>
      </c>
      <c r="B218" s="9"/>
      <c r="C218" s="32"/>
      <c r="D218" s="19">
        <f t="shared" si="59"/>
        <v>0</v>
      </c>
      <c r="E218" s="19">
        <f t="shared" si="59"/>
        <v>0</v>
      </c>
      <c r="F218" s="19">
        <f t="shared" si="59"/>
        <v>0</v>
      </c>
      <c r="G218" s="19">
        <f t="shared" si="59"/>
        <v>0</v>
      </c>
      <c r="H218" s="19">
        <f t="shared" si="59"/>
        <v>0</v>
      </c>
      <c r="I218" s="19">
        <f t="shared" si="59"/>
        <v>0</v>
      </c>
      <c r="J218" s="19">
        <f t="shared" si="59"/>
        <v>0</v>
      </c>
    </row>
    <row r="219" spans="1:10">
      <c r="A219" s="9">
        <f t="shared" si="56"/>
        <v>0</v>
      </c>
      <c r="B219" s="9"/>
      <c r="C219" s="32"/>
      <c r="D219" s="19">
        <f t="shared" si="59"/>
        <v>0</v>
      </c>
      <c r="E219" s="19">
        <f t="shared" si="59"/>
        <v>0</v>
      </c>
      <c r="F219" s="19">
        <f t="shared" si="59"/>
        <v>0</v>
      </c>
      <c r="G219" s="19">
        <f t="shared" si="59"/>
        <v>0</v>
      </c>
      <c r="H219" s="19">
        <f t="shared" si="59"/>
        <v>0</v>
      </c>
      <c r="I219" s="19">
        <f t="shared" si="59"/>
        <v>0</v>
      </c>
      <c r="J219" s="19">
        <f t="shared" si="59"/>
        <v>0</v>
      </c>
    </row>
    <row r="220" spans="1:10">
      <c r="A220" s="9" t="str">
        <f t="shared" si="56"/>
        <v>Fruit  &amp; Vegetables Crop Production Details</v>
      </c>
      <c r="B220" s="9"/>
      <c r="C220" s="19"/>
      <c r="D220" s="19"/>
      <c r="E220" s="19"/>
      <c r="F220" s="19"/>
      <c r="G220" s="19"/>
      <c r="H220" s="19"/>
      <c r="I220" s="19"/>
      <c r="J220" s="19"/>
    </row>
    <row r="221" spans="1:10">
      <c r="A221" s="9" t="str">
        <f t="shared" si="56"/>
        <v>Onion</v>
      </c>
      <c r="B221" s="9"/>
      <c r="C221" s="32"/>
      <c r="D221" s="19">
        <f t="shared" ref="D221:J230" si="60">C86*$C221*D$124</f>
        <v>0</v>
      </c>
      <c r="E221" s="19">
        <f t="shared" si="60"/>
        <v>0</v>
      </c>
      <c r="F221" s="19">
        <f t="shared" si="60"/>
        <v>0</v>
      </c>
      <c r="G221" s="19">
        <f t="shared" si="60"/>
        <v>0</v>
      </c>
      <c r="H221" s="19">
        <f t="shared" si="60"/>
        <v>0</v>
      </c>
      <c r="I221" s="19">
        <f t="shared" si="60"/>
        <v>0</v>
      </c>
      <c r="J221" s="19">
        <f t="shared" si="60"/>
        <v>0</v>
      </c>
    </row>
    <row r="222" spans="1:10">
      <c r="A222" s="9" t="str">
        <f t="shared" si="56"/>
        <v>Tomato</v>
      </c>
      <c r="B222" s="9"/>
      <c r="C222" s="32"/>
      <c r="D222" s="19">
        <f t="shared" si="60"/>
        <v>0</v>
      </c>
      <c r="E222" s="19">
        <f t="shared" si="60"/>
        <v>0</v>
      </c>
      <c r="F222" s="19">
        <f t="shared" si="60"/>
        <v>0</v>
      </c>
      <c r="G222" s="19">
        <f t="shared" si="60"/>
        <v>0</v>
      </c>
      <c r="H222" s="19">
        <f t="shared" si="60"/>
        <v>0</v>
      </c>
      <c r="I222" s="19">
        <f t="shared" si="60"/>
        <v>0</v>
      </c>
      <c r="J222" s="19">
        <f t="shared" si="60"/>
        <v>0</v>
      </c>
    </row>
    <row r="223" spans="1:10">
      <c r="A223" s="9" t="str">
        <f t="shared" si="56"/>
        <v>Okra</v>
      </c>
      <c r="B223" s="9"/>
      <c r="C223" s="32"/>
      <c r="D223" s="19">
        <f t="shared" si="60"/>
        <v>0</v>
      </c>
      <c r="E223" s="19">
        <f t="shared" si="60"/>
        <v>0</v>
      </c>
      <c r="F223" s="19">
        <f t="shared" si="60"/>
        <v>0</v>
      </c>
      <c r="G223" s="19">
        <f t="shared" si="60"/>
        <v>0</v>
      </c>
      <c r="H223" s="19">
        <f t="shared" si="60"/>
        <v>0</v>
      </c>
      <c r="I223" s="19">
        <f t="shared" si="60"/>
        <v>0</v>
      </c>
      <c r="J223" s="19">
        <f t="shared" si="60"/>
        <v>0</v>
      </c>
    </row>
    <row r="224" spans="1:10">
      <c r="A224" s="9" t="str">
        <f t="shared" si="56"/>
        <v>Chilli</v>
      </c>
      <c r="B224" s="9"/>
      <c r="C224" s="32"/>
      <c r="D224" s="19">
        <f t="shared" si="60"/>
        <v>0</v>
      </c>
      <c r="E224" s="19">
        <f t="shared" si="60"/>
        <v>0</v>
      </c>
      <c r="F224" s="19">
        <f t="shared" si="60"/>
        <v>0</v>
      </c>
      <c r="G224" s="19">
        <f t="shared" si="60"/>
        <v>0</v>
      </c>
      <c r="H224" s="19">
        <f t="shared" si="60"/>
        <v>0</v>
      </c>
      <c r="I224" s="19">
        <f t="shared" si="60"/>
        <v>0</v>
      </c>
      <c r="J224" s="19">
        <f t="shared" si="60"/>
        <v>0</v>
      </c>
    </row>
    <row r="225" spans="1:10">
      <c r="A225" s="9" t="str">
        <f t="shared" si="56"/>
        <v>Potato</v>
      </c>
      <c r="B225" s="9"/>
      <c r="C225" s="32"/>
      <c r="D225" s="19">
        <f t="shared" si="60"/>
        <v>0</v>
      </c>
      <c r="E225" s="19">
        <f t="shared" si="60"/>
        <v>0</v>
      </c>
      <c r="F225" s="19">
        <f t="shared" si="60"/>
        <v>0</v>
      </c>
      <c r="G225" s="19">
        <f t="shared" si="60"/>
        <v>0</v>
      </c>
      <c r="H225" s="19">
        <f t="shared" si="60"/>
        <v>0</v>
      </c>
      <c r="I225" s="19">
        <f t="shared" si="60"/>
        <v>0</v>
      </c>
      <c r="J225" s="19">
        <f t="shared" si="60"/>
        <v>0</v>
      </c>
    </row>
    <row r="226" spans="1:10">
      <c r="A226" s="9">
        <f t="shared" si="56"/>
        <v>0</v>
      </c>
      <c r="B226" s="9"/>
      <c r="C226" s="32"/>
      <c r="D226" s="19">
        <f t="shared" si="60"/>
        <v>0</v>
      </c>
      <c r="E226" s="19">
        <f t="shared" si="60"/>
        <v>0</v>
      </c>
      <c r="F226" s="19">
        <f t="shared" si="60"/>
        <v>0</v>
      </c>
      <c r="G226" s="19">
        <f t="shared" si="60"/>
        <v>0</v>
      </c>
      <c r="H226" s="19">
        <f t="shared" si="60"/>
        <v>0</v>
      </c>
      <c r="I226" s="19">
        <f t="shared" si="60"/>
        <v>0</v>
      </c>
      <c r="J226" s="19">
        <f t="shared" si="60"/>
        <v>0</v>
      </c>
    </row>
    <row r="227" spans="1:10">
      <c r="A227" s="9">
        <f t="shared" si="56"/>
        <v>0</v>
      </c>
      <c r="B227" s="9"/>
      <c r="C227" s="32"/>
      <c r="D227" s="19">
        <f t="shared" si="60"/>
        <v>0</v>
      </c>
      <c r="E227" s="19">
        <f t="shared" si="60"/>
        <v>0</v>
      </c>
      <c r="F227" s="19">
        <f t="shared" si="60"/>
        <v>0</v>
      </c>
      <c r="G227" s="19">
        <f t="shared" si="60"/>
        <v>0</v>
      </c>
      <c r="H227" s="19">
        <f t="shared" si="60"/>
        <v>0</v>
      </c>
      <c r="I227" s="19">
        <f t="shared" si="60"/>
        <v>0</v>
      </c>
      <c r="J227" s="19">
        <f t="shared" si="60"/>
        <v>0</v>
      </c>
    </row>
    <row r="228" spans="1:10">
      <c r="A228" s="9">
        <f t="shared" si="56"/>
        <v>0</v>
      </c>
      <c r="B228" s="9"/>
      <c r="C228" s="32"/>
      <c r="D228" s="19">
        <f t="shared" si="60"/>
        <v>0</v>
      </c>
      <c r="E228" s="19">
        <f t="shared" si="60"/>
        <v>0</v>
      </c>
      <c r="F228" s="19">
        <f t="shared" si="60"/>
        <v>0</v>
      </c>
      <c r="G228" s="19">
        <f t="shared" si="60"/>
        <v>0</v>
      </c>
      <c r="H228" s="19">
        <f t="shared" si="60"/>
        <v>0</v>
      </c>
      <c r="I228" s="19">
        <f t="shared" si="60"/>
        <v>0</v>
      </c>
      <c r="J228" s="19">
        <f t="shared" si="60"/>
        <v>0</v>
      </c>
    </row>
    <row r="229" spans="1:10">
      <c r="A229" s="9">
        <f t="shared" si="56"/>
        <v>0</v>
      </c>
      <c r="B229" s="9"/>
      <c r="C229" s="32"/>
      <c r="D229" s="19">
        <f t="shared" si="60"/>
        <v>0</v>
      </c>
      <c r="E229" s="19">
        <f t="shared" si="60"/>
        <v>0</v>
      </c>
      <c r="F229" s="19">
        <f t="shared" si="60"/>
        <v>0</v>
      </c>
      <c r="G229" s="19">
        <f t="shared" si="60"/>
        <v>0</v>
      </c>
      <c r="H229" s="19">
        <f t="shared" si="60"/>
        <v>0</v>
      </c>
      <c r="I229" s="19">
        <f t="shared" si="60"/>
        <v>0</v>
      </c>
      <c r="J229" s="19">
        <f t="shared" si="60"/>
        <v>0</v>
      </c>
    </row>
    <row r="230" spans="1:10">
      <c r="A230" s="9" t="str">
        <f t="shared" si="56"/>
        <v>Onion</v>
      </c>
      <c r="B230" s="9"/>
      <c r="C230" s="32"/>
      <c r="D230" s="19">
        <f t="shared" si="60"/>
        <v>0</v>
      </c>
      <c r="E230" s="19">
        <f t="shared" si="60"/>
        <v>0</v>
      </c>
      <c r="F230" s="19">
        <f t="shared" si="60"/>
        <v>0</v>
      </c>
      <c r="G230" s="19">
        <f t="shared" si="60"/>
        <v>0</v>
      </c>
      <c r="H230" s="19">
        <f t="shared" si="60"/>
        <v>0</v>
      </c>
      <c r="I230" s="19">
        <f t="shared" si="60"/>
        <v>0</v>
      </c>
      <c r="J230" s="19">
        <f t="shared" si="60"/>
        <v>0</v>
      </c>
    </row>
    <row r="231" spans="1:10">
      <c r="A231" s="9" t="str">
        <f t="shared" si="56"/>
        <v>Tomato</v>
      </c>
      <c r="B231" s="9"/>
      <c r="C231" s="32"/>
      <c r="D231" s="19">
        <f t="shared" ref="D231:J238" si="61">C96*$C231*D$124</f>
        <v>0</v>
      </c>
      <c r="E231" s="19">
        <f t="shared" si="61"/>
        <v>0</v>
      </c>
      <c r="F231" s="19">
        <f t="shared" si="61"/>
        <v>0</v>
      </c>
      <c r="G231" s="19">
        <f t="shared" si="61"/>
        <v>0</v>
      </c>
      <c r="H231" s="19">
        <f t="shared" si="61"/>
        <v>0</v>
      </c>
      <c r="I231" s="19">
        <f t="shared" si="61"/>
        <v>0</v>
      </c>
      <c r="J231" s="19">
        <f t="shared" si="61"/>
        <v>0</v>
      </c>
    </row>
    <row r="232" spans="1:10">
      <c r="A232" s="9" t="str">
        <f t="shared" si="56"/>
        <v>Okra</v>
      </c>
      <c r="B232" s="9"/>
      <c r="C232" s="32"/>
      <c r="D232" s="19">
        <f t="shared" si="61"/>
        <v>0</v>
      </c>
      <c r="E232" s="19">
        <f t="shared" si="61"/>
        <v>0</v>
      </c>
      <c r="F232" s="19">
        <f t="shared" si="61"/>
        <v>0</v>
      </c>
      <c r="G232" s="19">
        <f t="shared" si="61"/>
        <v>0</v>
      </c>
      <c r="H232" s="19">
        <f t="shared" si="61"/>
        <v>0</v>
      </c>
      <c r="I232" s="19">
        <f t="shared" si="61"/>
        <v>0</v>
      </c>
      <c r="J232" s="19">
        <f t="shared" si="61"/>
        <v>0</v>
      </c>
    </row>
    <row r="233" spans="1:10">
      <c r="A233" s="9" t="str">
        <f t="shared" si="56"/>
        <v>Chilli</v>
      </c>
      <c r="B233" s="9"/>
      <c r="C233" s="32"/>
      <c r="D233" s="19">
        <f t="shared" si="61"/>
        <v>0</v>
      </c>
      <c r="E233" s="19">
        <f t="shared" si="61"/>
        <v>0</v>
      </c>
      <c r="F233" s="19">
        <f t="shared" si="61"/>
        <v>0</v>
      </c>
      <c r="G233" s="19">
        <f t="shared" si="61"/>
        <v>0</v>
      </c>
      <c r="H233" s="19">
        <f t="shared" si="61"/>
        <v>0</v>
      </c>
      <c r="I233" s="19">
        <f t="shared" si="61"/>
        <v>0</v>
      </c>
      <c r="J233" s="19">
        <f t="shared" si="61"/>
        <v>0</v>
      </c>
    </row>
    <row r="234" spans="1:10">
      <c r="A234" s="9" t="str">
        <f t="shared" si="56"/>
        <v>Brinjal</v>
      </c>
      <c r="B234" s="9"/>
      <c r="C234" s="32"/>
      <c r="D234" s="19">
        <f t="shared" si="61"/>
        <v>0</v>
      </c>
      <c r="E234" s="19">
        <f t="shared" si="61"/>
        <v>0</v>
      </c>
      <c r="F234" s="19">
        <f t="shared" si="61"/>
        <v>0</v>
      </c>
      <c r="G234" s="19">
        <f t="shared" si="61"/>
        <v>0</v>
      </c>
      <c r="H234" s="19">
        <f t="shared" si="61"/>
        <v>0</v>
      </c>
      <c r="I234" s="19">
        <f t="shared" si="61"/>
        <v>0</v>
      </c>
      <c r="J234" s="19">
        <f t="shared" si="61"/>
        <v>0</v>
      </c>
    </row>
    <row r="235" spans="1:10">
      <c r="A235" s="9" t="str">
        <f t="shared" si="56"/>
        <v>Cashew</v>
      </c>
      <c r="B235" s="9"/>
      <c r="C235" s="32"/>
      <c r="D235" s="19">
        <f t="shared" si="61"/>
        <v>0</v>
      </c>
      <c r="E235" s="19">
        <f t="shared" si="61"/>
        <v>0</v>
      </c>
      <c r="F235" s="19">
        <f t="shared" si="61"/>
        <v>0</v>
      </c>
      <c r="G235" s="19">
        <f t="shared" si="61"/>
        <v>0</v>
      </c>
      <c r="H235" s="19">
        <f t="shared" si="61"/>
        <v>0</v>
      </c>
      <c r="I235" s="19">
        <f t="shared" si="61"/>
        <v>0</v>
      </c>
      <c r="J235" s="19">
        <f t="shared" si="61"/>
        <v>0</v>
      </c>
    </row>
    <row r="236" spans="1:10">
      <c r="A236" s="9">
        <f t="shared" si="56"/>
        <v>0</v>
      </c>
      <c r="B236" s="9"/>
      <c r="C236" s="32"/>
      <c r="D236" s="19">
        <f t="shared" si="61"/>
        <v>0</v>
      </c>
      <c r="E236" s="19">
        <f t="shared" si="61"/>
        <v>0</v>
      </c>
      <c r="F236" s="19">
        <f t="shared" si="61"/>
        <v>0</v>
      </c>
      <c r="G236" s="19">
        <f t="shared" si="61"/>
        <v>0</v>
      </c>
      <c r="H236" s="19">
        <f t="shared" si="61"/>
        <v>0</v>
      </c>
      <c r="I236" s="19">
        <f t="shared" si="61"/>
        <v>0</v>
      </c>
      <c r="J236" s="19">
        <f t="shared" si="61"/>
        <v>0</v>
      </c>
    </row>
    <row r="237" spans="1:10">
      <c r="A237" s="9">
        <f t="shared" si="56"/>
        <v>0</v>
      </c>
      <c r="B237" s="9"/>
      <c r="C237" s="32"/>
      <c r="D237" s="19">
        <f t="shared" si="61"/>
        <v>0</v>
      </c>
      <c r="E237" s="19">
        <f t="shared" si="61"/>
        <v>0</v>
      </c>
      <c r="F237" s="19">
        <f t="shared" si="61"/>
        <v>0</v>
      </c>
      <c r="G237" s="19">
        <f t="shared" si="61"/>
        <v>0</v>
      </c>
      <c r="H237" s="19">
        <f t="shared" si="61"/>
        <v>0</v>
      </c>
      <c r="I237" s="19">
        <f t="shared" si="61"/>
        <v>0</v>
      </c>
      <c r="J237" s="19">
        <f t="shared" si="61"/>
        <v>0</v>
      </c>
    </row>
    <row r="238" spans="1:10">
      <c r="A238" s="9">
        <f t="shared" si="56"/>
        <v>0</v>
      </c>
      <c r="B238" s="9"/>
      <c r="C238" s="32"/>
      <c r="D238" s="19">
        <f t="shared" si="61"/>
        <v>0</v>
      </c>
      <c r="E238" s="19">
        <f t="shared" si="61"/>
        <v>0</v>
      </c>
      <c r="F238" s="19">
        <f t="shared" si="61"/>
        <v>0</v>
      </c>
      <c r="G238" s="19">
        <f t="shared" si="61"/>
        <v>0</v>
      </c>
      <c r="H238" s="19">
        <f t="shared" si="61"/>
        <v>0</v>
      </c>
      <c r="I238" s="19">
        <f t="shared" si="61"/>
        <v>0</v>
      </c>
      <c r="J238" s="19">
        <f t="shared" si="61"/>
        <v>0</v>
      </c>
    </row>
    <row r="239" spans="1:10">
      <c r="A239" s="9" t="str">
        <f>A175</f>
        <v>Cashew</v>
      </c>
      <c r="B239" s="9"/>
      <c r="C239" s="32"/>
      <c r="D239" s="19">
        <f t="shared" ref="D239:J243" si="62">C107*$C239*D$124</f>
        <v>0</v>
      </c>
      <c r="E239" s="19">
        <f t="shared" si="62"/>
        <v>0</v>
      </c>
      <c r="F239" s="19">
        <f t="shared" si="62"/>
        <v>0</v>
      </c>
      <c r="G239" s="19">
        <f t="shared" si="62"/>
        <v>0</v>
      </c>
      <c r="H239" s="19">
        <f t="shared" si="62"/>
        <v>0</v>
      </c>
      <c r="I239" s="19">
        <f t="shared" si="62"/>
        <v>0</v>
      </c>
      <c r="J239" s="19">
        <f t="shared" si="62"/>
        <v>0</v>
      </c>
    </row>
    <row r="240" spans="1:10">
      <c r="A240" s="9" t="str">
        <f>A176</f>
        <v>Custard Apple</v>
      </c>
      <c r="B240" s="9"/>
      <c r="C240" s="32"/>
      <c r="D240" s="19">
        <f t="shared" si="62"/>
        <v>0</v>
      </c>
      <c r="E240" s="19">
        <f t="shared" si="62"/>
        <v>0</v>
      </c>
      <c r="F240" s="19">
        <f t="shared" si="62"/>
        <v>0</v>
      </c>
      <c r="G240" s="19">
        <f t="shared" si="62"/>
        <v>0</v>
      </c>
      <c r="H240" s="19">
        <f t="shared" si="62"/>
        <v>0</v>
      </c>
      <c r="I240" s="19">
        <f t="shared" si="62"/>
        <v>0</v>
      </c>
      <c r="J240" s="19">
        <f t="shared" si="62"/>
        <v>0</v>
      </c>
    </row>
    <row r="241" spans="1:10">
      <c r="A241" s="9" t="str">
        <f>A177</f>
        <v>Guava</v>
      </c>
      <c r="B241" s="9"/>
      <c r="C241" s="32"/>
      <c r="D241" s="19">
        <f t="shared" si="62"/>
        <v>0</v>
      </c>
      <c r="E241" s="19">
        <f t="shared" si="62"/>
        <v>0</v>
      </c>
      <c r="F241" s="19">
        <f t="shared" si="62"/>
        <v>0</v>
      </c>
      <c r="G241" s="19">
        <f t="shared" si="62"/>
        <v>0</v>
      </c>
      <c r="H241" s="19">
        <f t="shared" si="62"/>
        <v>0</v>
      </c>
      <c r="I241" s="19">
        <f t="shared" si="62"/>
        <v>0</v>
      </c>
      <c r="J241" s="19">
        <f t="shared" si="62"/>
        <v>0</v>
      </c>
    </row>
    <row r="242" spans="1:10">
      <c r="A242" s="9" t="str">
        <f>A178</f>
        <v>Citrus</v>
      </c>
      <c r="B242" s="9"/>
      <c r="C242" s="32"/>
      <c r="D242" s="19">
        <f t="shared" si="62"/>
        <v>0</v>
      </c>
      <c r="E242" s="19">
        <f t="shared" si="62"/>
        <v>0</v>
      </c>
      <c r="F242" s="19">
        <f t="shared" si="62"/>
        <v>0</v>
      </c>
      <c r="G242" s="19">
        <f t="shared" si="62"/>
        <v>0</v>
      </c>
      <c r="H242" s="19">
        <f t="shared" si="62"/>
        <v>0</v>
      </c>
      <c r="I242" s="19">
        <f t="shared" si="62"/>
        <v>0</v>
      </c>
      <c r="J242" s="19">
        <f t="shared" si="62"/>
        <v>0</v>
      </c>
    </row>
    <row r="243" spans="1:10">
      <c r="A243" s="9">
        <f>A179</f>
        <v>0</v>
      </c>
      <c r="B243" s="9"/>
      <c r="C243" s="32"/>
      <c r="D243" s="19">
        <f t="shared" si="62"/>
        <v>0</v>
      </c>
      <c r="E243" s="19">
        <f t="shared" si="62"/>
        <v>0</v>
      </c>
      <c r="F243" s="19">
        <f t="shared" si="62"/>
        <v>0</v>
      </c>
      <c r="G243" s="19">
        <f t="shared" si="62"/>
        <v>0</v>
      </c>
      <c r="H243" s="19">
        <f t="shared" si="62"/>
        <v>0</v>
      </c>
      <c r="I243" s="19">
        <f t="shared" si="62"/>
        <v>0</v>
      </c>
      <c r="J243" s="19">
        <f t="shared" si="62"/>
        <v>0</v>
      </c>
    </row>
    <row r="244" spans="1:10">
      <c r="A244" s="9" t="str">
        <f>A181</f>
        <v>Fertilizer(Rate/KG)</v>
      </c>
      <c r="B244" s="9"/>
      <c r="C244" s="19"/>
      <c r="D244" s="19"/>
      <c r="E244" s="19"/>
      <c r="F244" s="19"/>
      <c r="G244" s="19"/>
      <c r="H244" s="19"/>
      <c r="I244" s="19"/>
      <c r="J244" s="19"/>
    </row>
    <row r="245" spans="1:10">
      <c r="A245" s="9" t="str">
        <f>A182</f>
        <v>SSP</v>
      </c>
      <c r="B245" s="9"/>
      <c r="C245" s="32">
        <v>0</v>
      </c>
      <c r="D245" s="19">
        <f t="shared" ref="D245:J245" si="63">C114*$C$245*D124</f>
        <v>0</v>
      </c>
      <c r="E245" s="19">
        <f t="shared" si="63"/>
        <v>0</v>
      </c>
      <c r="F245" s="19">
        <f t="shared" si="63"/>
        <v>0</v>
      </c>
      <c r="G245" s="19">
        <f t="shared" si="63"/>
        <v>0</v>
      </c>
      <c r="H245" s="19">
        <f t="shared" si="63"/>
        <v>0</v>
      </c>
      <c r="I245" s="19">
        <f t="shared" si="63"/>
        <v>0</v>
      </c>
      <c r="J245" s="19">
        <f t="shared" si="63"/>
        <v>0</v>
      </c>
    </row>
    <row r="246" spans="1:10">
      <c r="A246" s="9" t="str">
        <f>A183</f>
        <v>Urea</v>
      </c>
      <c r="B246" s="9"/>
      <c r="C246" s="32">
        <v>0</v>
      </c>
      <c r="D246" s="19">
        <f t="shared" ref="D246:J246" si="64">C115*$C$246*D124</f>
        <v>0</v>
      </c>
      <c r="E246" s="19">
        <f t="shared" si="64"/>
        <v>0</v>
      </c>
      <c r="F246" s="19">
        <f t="shared" si="64"/>
        <v>0</v>
      </c>
      <c r="G246" s="19">
        <f t="shared" si="64"/>
        <v>0</v>
      </c>
      <c r="H246" s="19">
        <f t="shared" si="64"/>
        <v>0</v>
      </c>
      <c r="I246" s="19">
        <f t="shared" si="64"/>
        <v>0</v>
      </c>
      <c r="J246" s="19">
        <f t="shared" si="64"/>
        <v>0</v>
      </c>
    </row>
    <row r="247" spans="1:10">
      <c r="A247" s="9" t="str">
        <f>A184</f>
        <v>DAP</v>
      </c>
      <c r="B247" s="9"/>
      <c r="C247" s="32">
        <v>0</v>
      </c>
      <c r="D247" s="19">
        <f t="shared" ref="D247:J247" si="65">C116*$C$247*D124</f>
        <v>0</v>
      </c>
      <c r="E247" s="19">
        <f t="shared" si="65"/>
        <v>0</v>
      </c>
      <c r="F247" s="19">
        <f t="shared" si="65"/>
        <v>0</v>
      </c>
      <c r="G247" s="19">
        <f t="shared" si="65"/>
        <v>0</v>
      </c>
      <c r="H247" s="19">
        <f t="shared" si="65"/>
        <v>0</v>
      </c>
      <c r="I247" s="19">
        <f t="shared" si="65"/>
        <v>0</v>
      </c>
      <c r="J247" s="19">
        <f t="shared" si="65"/>
        <v>0</v>
      </c>
    </row>
    <row r="248" spans="1:10">
      <c r="A248" s="9"/>
      <c r="B248" s="9"/>
      <c r="C248" s="19"/>
      <c r="D248" s="19"/>
      <c r="E248" s="19"/>
      <c r="F248" s="19"/>
      <c r="G248" s="19"/>
      <c r="H248" s="19"/>
      <c r="I248" s="19"/>
      <c r="J248" s="19"/>
    </row>
    <row r="249" spans="1:10">
      <c r="A249" s="9" t="str">
        <f>A186</f>
        <v>Pesticide</v>
      </c>
      <c r="B249" s="9"/>
      <c r="C249" s="19"/>
      <c r="D249" s="19"/>
      <c r="E249" s="19"/>
      <c r="F249" s="19"/>
      <c r="G249" s="19"/>
      <c r="H249" s="19"/>
      <c r="I249" s="19"/>
      <c r="J249" s="19"/>
    </row>
    <row r="250" spans="1:10">
      <c r="A250" s="9" t="str">
        <f>A187</f>
        <v>Dupont Coragen</v>
      </c>
      <c r="B250" s="9"/>
      <c r="C250" s="32">
        <v>0</v>
      </c>
      <c r="D250" s="19">
        <f t="shared" ref="D250:J250" si="66">C118*$C$250*D124</f>
        <v>0</v>
      </c>
      <c r="E250" s="19">
        <f t="shared" si="66"/>
        <v>0</v>
      </c>
      <c r="F250" s="19">
        <f t="shared" si="66"/>
        <v>0</v>
      </c>
      <c r="G250" s="19">
        <f t="shared" si="66"/>
        <v>0</v>
      </c>
      <c r="H250" s="19">
        <f t="shared" si="66"/>
        <v>0</v>
      </c>
      <c r="I250" s="19">
        <f t="shared" si="66"/>
        <v>0</v>
      </c>
      <c r="J250" s="19">
        <f t="shared" si="66"/>
        <v>0</v>
      </c>
    </row>
    <row r="251" spans="1:10">
      <c r="A251" s="9" t="str">
        <f>A188</f>
        <v>Confidor Boyer</v>
      </c>
      <c r="B251" s="9"/>
      <c r="C251" s="32">
        <v>0</v>
      </c>
      <c r="D251" s="19">
        <f t="shared" ref="D251:J251" si="67">C119*$C$251*D124</f>
        <v>0</v>
      </c>
      <c r="E251" s="19">
        <f t="shared" si="67"/>
        <v>0</v>
      </c>
      <c r="F251" s="19">
        <f t="shared" si="67"/>
        <v>0</v>
      </c>
      <c r="G251" s="19">
        <f t="shared" si="67"/>
        <v>0</v>
      </c>
      <c r="H251" s="19">
        <f t="shared" si="67"/>
        <v>0</v>
      </c>
      <c r="I251" s="19">
        <f t="shared" si="67"/>
        <v>0</v>
      </c>
      <c r="J251" s="19">
        <f t="shared" si="67"/>
        <v>0</v>
      </c>
    </row>
    <row r="252" spans="1:10">
      <c r="A252" s="9"/>
      <c r="B252" s="9"/>
      <c r="C252" s="19"/>
      <c r="D252" s="19"/>
      <c r="E252" s="19"/>
      <c r="F252" s="19"/>
      <c r="G252" s="19"/>
      <c r="H252" s="19"/>
      <c r="I252" s="19"/>
      <c r="J252" s="19"/>
    </row>
    <row r="253" spans="1:10">
      <c r="A253" s="9" t="s">
        <v>675</v>
      </c>
      <c r="B253" s="9"/>
      <c r="C253" s="32">
        <v>0</v>
      </c>
      <c r="D253" s="19">
        <f t="shared" ref="D253:J253" si="68">(SUM(C63:C119)/50)*$C$253*D124</f>
        <v>0</v>
      </c>
      <c r="E253" s="19">
        <f t="shared" si="68"/>
        <v>0</v>
      </c>
      <c r="F253" s="19">
        <f t="shared" si="68"/>
        <v>0</v>
      </c>
      <c r="G253" s="19">
        <f t="shared" si="68"/>
        <v>0</v>
      </c>
      <c r="H253" s="19">
        <f t="shared" si="68"/>
        <v>0</v>
      </c>
      <c r="I253" s="19">
        <f t="shared" si="68"/>
        <v>0</v>
      </c>
      <c r="J253" s="19">
        <f t="shared" si="68"/>
        <v>0</v>
      </c>
    </row>
    <row r="254" spans="1:10">
      <c r="A254" s="9" t="s">
        <v>676</v>
      </c>
      <c r="B254" s="9"/>
      <c r="C254" s="32">
        <v>0</v>
      </c>
      <c r="D254" s="19">
        <f t="shared" ref="D254:J254" si="69">(SUM(C63:C119)/50)*$C$254*D124</f>
        <v>0</v>
      </c>
      <c r="E254" s="19">
        <f t="shared" si="69"/>
        <v>0</v>
      </c>
      <c r="F254" s="19">
        <f t="shared" si="69"/>
        <v>0</v>
      </c>
      <c r="G254" s="19">
        <f t="shared" si="69"/>
        <v>0</v>
      </c>
      <c r="H254" s="19">
        <f t="shared" si="69"/>
        <v>0</v>
      </c>
      <c r="I254" s="19">
        <f t="shared" si="69"/>
        <v>0</v>
      </c>
      <c r="J254" s="19">
        <f t="shared" si="69"/>
        <v>0</v>
      </c>
    </row>
    <row r="255" spans="1:10">
      <c r="A255" s="9"/>
      <c r="B255" s="9"/>
      <c r="C255" s="32"/>
      <c r="D255" s="42"/>
      <c r="E255" s="19"/>
      <c r="F255" s="19"/>
      <c r="G255" s="19"/>
      <c r="H255" s="19"/>
      <c r="I255" s="19"/>
      <c r="J255" s="19"/>
    </row>
    <row r="256" spans="1:10">
      <c r="A256" s="9"/>
      <c r="B256" s="9"/>
      <c r="C256" s="32"/>
      <c r="D256" s="42"/>
      <c r="E256" s="19"/>
      <c r="F256" s="19"/>
      <c r="G256" s="19"/>
      <c r="H256" s="19"/>
      <c r="I256" s="19"/>
      <c r="J256" s="19"/>
    </row>
    <row r="257" spans="1:10">
      <c r="A257" s="9"/>
      <c r="B257" s="9"/>
      <c r="C257" s="32"/>
      <c r="D257" s="42"/>
      <c r="E257" s="19"/>
      <c r="F257" s="19"/>
      <c r="G257" s="19"/>
      <c r="H257" s="19"/>
      <c r="I257" s="19"/>
      <c r="J257" s="19"/>
    </row>
    <row r="258" spans="1:10">
      <c r="A258" s="9"/>
      <c r="B258" s="9"/>
      <c r="C258" s="32"/>
      <c r="D258" s="42"/>
      <c r="E258" s="19">
        <v>0</v>
      </c>
      <c r="F258" s="19"/>
      <c r="G258" s="19"/>
      <c r="H258" s="19"/>
      <c r="I258" s="19"/>
      <c r="J258" s="19"/>
    </row>
    <row r="259" spans="1:10">
      <c r="A259" s="9" t="s">
        <v>580</v>
      </c>
      <c r="B259" s="9"/>
      <c r="C259" s="19"/>
      <c r="D259" s="42"/>
      <c r="E259" s="19">
        <f>'5.Closing Stock &amp; W Capital'!F6</f>
        <v>0</v>
      </c>
      <c r="F259" s="19">
        <f>'5.Closing Stock &amp; W Capital'!G6</f>
        <v>0</v>
      </c>
      <c r="G259" s="19">
        <f>'5.Closing Stock &amp; W Capital'!H6</f>
        <v>0</v>
      </c>
      <c r="H259" s="19">
        <f>'5.Closing Stock &amp; W Capital'!I6</f>
        <v>0</v>
      </c>
      <c r="I259" s="19">
        <f>'5.Closing Stock &amp; W Capital'!J6</f>
        <v>0</v>
      </c>
      <c r="J259" s="19">
        <f>'5.Closing Stock &amp; W Capital'!K6</f>
        <v>0</v>
      </c>
    </row>
    <row r="260" spans="1:10">
      <c r="A260" s="14" t="s">
        <v>581</v>
      </c>
      <c r="B260" s="9"/>
      <c r="C260" s="9"/>
      <c r="D260" s="42">
        <f>'5.Closing Stock &amp; W Capital'!E15</f>
        <v>0</v>
      </c>
      <c r="E260" s="19">
        <f>'5.Closing Stock &amp; W Capital'!F15</f>
        <v>0</v>
      </c>
      <c r="F260" s="19">
        <f>'5.Closing Stock &amp; W Capital'!G15</f>
        <v>0</v>
      </c>
      <c r="G260" s="19">
        <f>'5.Closing Stock &amp; W Capital'!H15</f>
        <v>0</v>
      </c>
      <c r="H260" s="19">
        <f>'5.Closing Stock &amp; W Capital'!I15</f>
        <v>0</v>
      </c>
      <c r="I260" s="19">
        <f>'5.Closing Stock &amp; W Capital'!J15</f>
        <v>0</v>
      </c>
      <c r="J260" s="19">
        <f>'5.Closing Stock &amp; W Capital'!K15</f>
        <v>0</v>
      </c>
    </row>
    <row r="261" spans="1:10">
      <c r="A261" s="9"/>
      <c r="B261" s="9"/>
      <c r="C261" s="9"/>
    </row>
    <row r="262" spans="1:10">
      <c r="A262" s="16" t="s">
        <v>346</v>
      </c>
      <c r="B262" s="16"/>
      <c r="C262" s="18"/>
      <c r="D262" s="18">
        <f>SUM(D197:D258)+D259-D260</f>
        <v>0</v>
      </c>
      <c r="E262" s="18">
        <f t="shared" ref="E262:J262" si="70">SUM(E197:E258)+E259-E260</f>
        <v>0</v>
      </c>
      <c r="F262" s="18">
        <f t="shared" si="70"/>
        <v>0</v>
      </c>
      <c r="G262" s="18">
        <f t="shared" si="70"/>
        <v>0</v>
      </c>
      <c r="H262" s="18">
        <f t="shared" si="70"/>
        <v>0</v>
      </c>
      <c r="I262" s="18">
        <f t="shared" si="70"/>
        <v>0</v>
      </c>
      <c r="J262" s="18">
        <f t="shared" si="70"/>
        <v>0</v>
      </c>
    </row>
    <row r="263" spans="1:10">
      <c r="A263" s="9"/>
      <c r="B263" s="9"/>
      <c r="C263" s="19"/>
      <c r="D263" s="19"/>
      <c r="E263" s="19"/>
      <c r="F263" s="19"/>
      <c r="G263" s="19"/>
      <c r="H263" s="19"/>
      <c r="I263" s="19"/>
      <c r="J263" s="19"/>
    </row>
    <row r="264" spans="1:10">
      <c r="A264" s="16" t="s">
        <v>347</v>
      </c>
      <c r="B264" s="16"/>
      <c r="C264" s="19"/>
      <c r="D264" s="19"/>
      <c r="E264" s="19"/>
      <c r="F264" s="19"/>
      <c r="G264" s="19"/>
      <c r="H264" s="19"/>
      <c r="I264" s="19"/>
      <c r="J264" s="19"/>
    </row>
    <row r="265" spans="1:10">
      <c r="A265" s="9" t="s">
        <v>677</v>
      </c>
      <c r="B265" s="9">
        <v>12</v>
      </c>
      <c r="C265" s="32"/>
      <c r="D265" s="19">
        <f t="shared" ref="D265:J265" si="71">$B$265*$C$265*D124</f>
        <v>0</v>
      </c>
      <c r="E265" s="19">
        <f t="shared" si="71"/>
        <v>0</v>
      </c>
      <c r="F265" s="19">
        <f t="shared" si="71"/>
        <v>0</v>
      </c>
      <c r="G265" s="19">
        <f t="shared" si="71"/>
        <v>0</v>
      </c>
      <c r="H265" s="19">
        <f t="shared" si="71"/>
        <v>0</v>
      </c>
      <c r="I265" s="19">
        <f t="shared" si="71"/>
        <v>0</v>
      </c>
      <c r="J265" s="19">
        <f t="shared" si="71"/>
        <v>0</v>
      </c>
    </row>
    <row r="266" spans="1:10">
      <c r="A266" s="9" t="s">
        <v>678</v>
      </c>
      <c r="B266" s="31">
        <v>1</v>
      </c>
      <c r="C266" s="32"/>
      <c r="D266" s="19">
        <f t="shared" ref="D266:J266" si="72">$B$266*$C$266*12*D124</f>
        <v>0</v>
      </c>
      <c r="E266" s="19">
        <f t="shared" si="72"/>
        <v>0</v>
      </c>
      <c r="F266" s="19">
        <f t="shared" si="72"/>
        <v>0</v>
      </c>
      <c r="G266" s="19">
        <f t="shared" si="72"/>
        <v>0</v>
      </c>
      <c r="H266" s="19">
        <f t="shared" si="72"/>
        <v>0</v>
      </c>
      <c r="I266" s="19">
        <f t="shared" si="72"/>
        <v>0</v>
      </c>
      <c r="J266" s="19">
        <f t="shared" si="72"/>
        <v>0</v>
      </c>
    </row>
    <row r="267" spans="1:10">
      <c r="A267" s="9" t="s">
        <v>679</v>
      </c>
      <c r="B267" s="31">
        <v>1</v>
      </c>
      <c r="C267" s="32"/>
      <c r="D267" s="19">
        <f t="shared" ref="D267:J267" si="73">$B$267*$C$267*12*D124</f>
        <v>0</v>
      </c>
      <c r="E267" s="19">
        <f t="shared" si="73"/>
        <v>0</v>
      </c>
      <c r="F267" s="19">
        <f t="shared" si="73"/>
        <v>0</v>
      </c>
      <c r="G267" s="19">
        <f t="shared" si="73"/>
        <v>0</v>
      </c>
      <c r="H267" s="19">
        <f t="shared" si="73"/>
        <v>0</v>
      </c>
      <c r="I267" s="19">
        <f t="shared" si="73"/>
        <v>0</v>
      </c>
      <c r="J267" s="19">
        <f t="shared" si="73"/>
        <v>0</v>
      </c>
    </row>
    <row r="268" spans="1:10">
      <c r="A268" s="9" t="s">
        <v>680</v>
      </c>
      <c r="B268" s="9">
        <v>12</v>
      </c>
      <c r="C268" s="32"/>
      <c r="D268" s="19">
        <f t="shared" ref="D268:J268" si="74">$B$268*$C$268*D124</f>
        <v>0</v>
      </c>
      <c r="E268" s="19">
        <f t="shared" si="74"/>
        <v>0</v>
      </c>
      <c r="F268" s="19">
        <f t="shared" si="74"/>
        <v>0</v>
      </c>
      <c r="G268" s="19">
        <f t="shared" si="74"/>
        <v>0</v>
      </c>
      <c r="H268" s="19">
        <f t="shared" si="74"/>
        <v>0</v>
      </c>
      <c r="I268" s="19">
        <f t="shared" si="74"/>
        <v>0</v>
      </c>
      <c r="J268" s="19">
        <f t="shared" si="74"/>
        <v>0</v>
      </c>
    </row>
    <row r="269" spans="1:10">
      <c r="A269" s="9"/>
      <c r="B269" s="9"/>
      <c r="C269" s="32"/>
      <c r="D269" s="19"/>
      <c r="E269" s="19"/>
      <c r="F269" s="19"/>
      <c r="G269" s="19"/>
      <c r="H269" s="19"/>
      <c r="I269" s="19"/>
      <c r="J269" s="19"/>
    </row>
    <row r="270" spans="1:10">
      <c r="A270" s="9"/>
      <c r="B270" s="9"/>
      <c r="C270" s="32"/>
      <c r="D270" s="19"/>
      <c r="E270" s="19"/>
      <c r="F270" s="19"/>
      <c r="G270" s="19"/>
      <c r="H270" s="19"/>
      <c r="I270" s="19"/>
      <c r="J270" s="19"/>
    </row>
    <row r="271" spans="1:10">
      <c r="A271" s="9"/>
      <c r="B271" s="9"/>
      <c r="C271" s="32"/>
      <c r="D271" s="19"/>
      <c r="E271" s="19"/>
      <c r="F271" s="19"/>
      <c r="G271" s="19"/>
      <c r="H271" s="19"/>
      <c r="I271" s="19"/>
      <c r="J271" s="19"/>
    </row>
    <row r="272" spans="1:10">
      <c r="A272" s="9"/>
      <c r="B272" s="9"/>
      <c r="C272" s="32"/>
      <c r="D272" s="19"/>
      <c r="E272" s="19"/>
      <c r="F272" s="19"/>
      <c r="G272" s="19"/>
      <c r="H272" s="19"/>
      <c r="I272" s="19"/>
      <c r="J272" s="19"/>
    </row>
    <row r="273" spans="1:10">
      <c r="A273" s="16" t="s">
        <v>349</v>
      </c>
      <c r="B273" s="16"/>
      <c r="C273" s="18"/>
      <c r="D273" s="18">
        <f>SUM(D265:D272)</f>
        <v>0</v>
      </c>
      <c r="E273" s="18">
        <f t="shared" ref="E273:J273" si="75">SUM(E265:E272)</f>
        <v>0</v>
      </c>
      <c r="F273" s="18">
        <f t="shared" si="75"/>
        <v>0</v>
      </c>
      <c r="G273" s="18">
        <f t="shared" si="75"/>
        <v>0</v>
      </c>
      <c r="H273" s="18">
        <f t="shared" si="75"/>
        <v>0</v>
      </c>
      <c r="I273" s="18">
        <f t="shared" si="75"/>
        <v>0</v>
      </c>
      <c r="J273" s="18">
        <f t="shared" si="75"/>
        <v>0</v>
      </c>
    </row>
    <row r="274" spans="1:10">
      <c r="A274" s="36" t="s">
        <v>681</v>
      </c>
      <c r="B274" s="36"/>
      <c r="C274" s="43"/>
      <c r="D274" s="18">
        <f t="shared" ref="D274:J274" si="76">D262+D273</f>
        <v>0</v>
      </c>
      <c r="E274" s="18">
        <f t="shared" si="76"/>
        <v>0</v>
      </c>
      <c r="F274" s="18">
        <f t="shared" si="76"/>
        <v>0</v>
      </c>
      <c r="G274" s="18">
        <f t="shared" si="76"/>
        <v>0</v>
      </c>
      <c r="H274" s="18">
        <f t="shared" si="76"/>
        <v>0</v>
      </c>
      <c r="I274" s="18">
        <f t="shared" si="76"/>
        <v>0</v>
      </c>
      <c r="J274" s="18">
        <f t="shared" si="76"/>
        <v>0</v>
      </c>
    </row>
    <row r="275" spans="1:10">
      <c r="A275" s="9"/>
      <c r="B275" s="9"/>
      <c r="C275" s="19"/>
      <c r="D275" s="19"/>
      <c r="E275" s="19"/>
      <c r="F275" s="19"/>
      <c r="G275" s="19"/>
      <c r="H275" s="19"/>
      <c r="I275" s="19"/>
      <c r="J275" s="19"/>
    </row>
    <row r="276" spans="1:10">
      <c r="A276" s="36" t="s">
        <v>394</v>
      </c>
      <c r="B276" s="36"/>
      <c r="C276" s="43"/>
      <c r="D276" s="18">
        <f t="shared" ref="D276:J276" si="77">D191-D274</f>
        <v>0</v>
      </c>
      <c r="E276" s="18">
        <f t="shared" si="77"/>
        <v>0</v>
      </c>
      <c r="F276" s="18">
        <f t="shared" si="77"/>
        <v>0</v>
      </c>
      <c r="G276" s="18">
        <f t="shared" si="77"/>
        <v>0</v>
      </c>
      <c r="H276" s="18">
        <f t="shared" si="77"/>
        <v>0</v>
      </c>
      <c r="I276" s="18">
        <f t="shared" si="77"/>
        <v>0</v>
      </c>
      <c r="J276" s="18">
        <f t="shared" si="77"/>
        <v>0</v>
      </c>
    </row>
    <row r="277" spans="1:10">
      <c r="A277" s="4"/>
      <c r="B277" s="4"/>
      <c r="C277" s="4"/>
    </row>
    <row r="279" spans="1:10">
      <c r="A279" s="456" t="s">
        <v>682</v>
      </c>
      <c r="B279" s="456"/>
      <c r="C279" s="456"/>
      <c r="D279" s="456"/>
      <c r="E279" s="456"/>
      <c r="F279" s="456"/>
      <c r="G279" s="456"/>
      <c r="H279" s="456"/>
      <c r="I279" s="456"/>
      <c r="J279" s="456"/>
    </row>
    <row r="281" spans="1:10">
      <c r="A281" s="1" t="s">
        <v>308</v>
      </c>
    </row>
    <row r="282" spans="1:10">
      <c r="A282" s="1">
        <v>1</v>
      </c>
      <c r="B282" s="1" t="s">
        <v>587</v>
      </c>
    </row>
    <row r="283" spans="1:10">
      <c r="A283" s="1">
        <v>2</v>
      </c>
      <c r="B283" s="1" t="s">
        <v>588</v>
      </c>
    </row>
    <row r="284" spans="1:10">
      <c r="A284" s="1">
        <v>3</v>
      </c>
      <c r="B284" s="1" t="s">
        <v>589</v>
      </c>
    </row>
  </sheetData>
  <mergeCells count="3">
    <mergeCell ref="A2:I2"/>
    <mergeCell ref="A122:J122"/>
    <mergeCell ref="A279:J279"/>
  </mergeCells>
  <pageMargins left="0.7" right="0.7" top="0.75" bottom="0.75" header="0.3" footer="0.3"/>
  <pageSetup scale="55"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dimension ref="A3:J198"/>
  <sheetViews>
    <sheetView view="pageBreakPreview" topLeftCell="A178" zoomScale="115" zoomScaleSheetLayoutView="115" workbookViewId="0">
      <selection activeCell="H12" activeCellId="1" sqref="B12 H12"/>
    </sheetView>
  </sheetViews>
  <sheetFormatPr defaultColWidth="9" defaultRowHeight="15"/>
  <cols>
    <col min="1" max="1" width="36" style="220" bestFit="1" customWidth="1"/>
    <col min="2" max="2" width="11.5703125" style="220" customWidth="1"/>
    <col min="3" max="3" width="11.7109375" style="220" bestFit="1" customWidth="1"/>
    <col min="4" max="6" width="12.7109375" style="220" bestFit="1" customWidth="1"/>
    <col min="7" max="10" width="14" style="220" bestFit="1" customWidth="1"/>
    <col min="11" max="16384" width="9" style="220"/>
  </cols>
  <sheetData>
    <row r="3" spans="1:8">
      <c r="A3" s="415" t="s">
        <v>683</v>
      </c>
      <c r="B3" s="415"/>
      <c r="C3" s="415"/>
      <c r="D3" s="415"/>
      <c r="E3" s="415"/>
      <c r="F3" s="415"/>
      <c r="G3" s="415"/>
      <c r="H3" s="415"/>
    </row>
    <row r="4" spans="1:8">
      <c r="A4" s="415" t="s">
        <v>684</v>
      </c>
      <c r="B4" s="415"/>
      <c r="C4" s="415"/>
      <c r="D4" s="415"/>
      <c r="E4" s="415"/>
      <c r="F4" s="415"/>
      <c r="G4" s="415"/>
      <c r="H4" s="415"/>
    </row>
    <row r="5" spans="1:8">
      <c r="A5" s="220" t="s">
        <v>124</v>
      </c>
      <c r="B5" s="227">
        <v>10</v>
      </c>
      <c r="C5" s="220" t="s">
        <v>592</v>
      </c>
    </row>
    <row r="6" spans="1:8">
      <c r="A6" s="220" t="s">
        <v>561</v>
      </c>
      <c r="B6" s="228">
        <v>8</v>
      </c>
    </row>
    <row r="7" spans="1:8">
      <c r="B7" s="228"/>
    </row>
    <row r="8" spans="1:8">
      <c r="B8" s="228"/>
    </row>
    <row r="11" spans="1:8">
      <c r="A11" s="184" t="s">
        <v>145</v>
      </c>
      <c r="B11" s="185" t="s">
        <v>148</v>
      </c>
      <c r="C11" s="185" t="s">
        <v>149</v>
      </c>
      <c r="D11" s="185" t="s">
        <v>150</v>
      </c>
      <c r="E11" s="185" t="s">
        <v>151</v>
      </c>
      <c r="F11" s="185" t="s">
        <v>152</v>
      </c>
      <c r="G11" s="185" t="s">
        <v>153</v>
      </c>
      <c r="H11" s="185" t="s">
        <v>154</v>
      </c>
    </row>
    <row r="12" spans="1:8">
      <c r="A12" s="223" t="s">
        <v>593</v>
      </c>
      <c r="B12" s="229">
        <f>B39/($B$5*$B$6)</f>
        <v>125.15579999999997</v>
      </c>
      <c r="C12" s="229">
        <f t="shared" ref="C12:H12" si="0">C39/($B$5*$B$6)</f>
        <v>135.58544999999998</v>
      </c>
      <c r="D12" s="229">
        <f t="shared" si="0"/>
        <v>146.01510000000002</v>
      </c>
      <c r="E12" s="229">
        <f t="shared" si="0"/>
        <v>156.44475000000003</v>
      </c>
      <c r="F12" s="229">
        <f t="shared" si="0"/>
        <v>166.87440000000001</v>
      </c>
      <c r="G12" s="229">
        <f t="shared" si="0"/>
        <v>177.30405000000002</v>
      </c>
      <c r="H12" s="229">
        <f t="shared" si="0"/>
        <v>187.73370000000006</v>
      </c>
    </row>
    <row r="13" spans="1:8" hidden="1">
      <c r="A13" s="223" t="str">
        <f>'11.F&amp;V Crop Production details'!A74</f>
        <v>Onion</v>
      </c>
      <c r="B13" s="230">
        <f>'11.F&amp;V Crop Production details'!B74</f>
        <v>0</v>
      </c>
      <c r="C13" s="230">
        <f>'11.F&amp;V Crop Production details'!C74</f>
        <v>0</v>
      </c>
      <c r="D13" s="230">
        <f>'11.F&amp;V Crop Production details'!D74</f>
        <v>0</v>
      </c>
      <c r="E13" s="230">
        <f>'11.F&amp;V Crop Production details'!E74</f>
        <v>0</v>
      </c>
      <c r="F13" s="230">
        <f>'11.F&amp;V Crop Production details'!F74</f>
        <v>0</v>
      </c>
      <c r="G13" s="230">
        <f>'11.F&amp;V Crop Production details'!G74</f>
        <v>0</v>
      </c>
      <c r="H13" s="230">
        <f>'11.F&amp;V Crop Production details'!H74</f>
        <v>0</v>
      </c>
    </row>
    <row r="14" spans="1:8" hidden="1">
      <c r="A14" s="223" t="str">
        <f>'11.F&amp;V Crop Production details'!A75</f>
        <v>Tomato</v>
      </c>
      <c r="B14" s="230">
        <f>'11.F&amp;V Crop Production details'!B75</f>
        <v>0</v>
      </c>
      <c r="C14" s="230">
        <f>'11.F&amp;V Crop Production details'!C75</f>
        <v>0</v>
      </c>
      <c r="D14" s="230">
        <f>'11.F&amp;V Crop Production details'!D75</f>
        <v>0</v>
      </c>
      <c r="E14" s="230">
        <f>'11.F&amp;V Crop Production details'!E75</f>
        <v>0</v>
      </c>
      <c r="F14" s="230">
        <f>'11.F&amp;V Crop Production details'!F75</f>
        <v>0</v>
      </c>
      <c r="G14" s="230">
        <f>'11.F&amp;V Crop Production details'!G75</f>
        <v>0</v>
      </c>
      <c r="H14" s="230">
        <f>'11.F&amp;V Crop Production details'!H75</f>
        <v>0</v>
      </c>
    </row>
    <row r="15" spans="1:8" hidden="1">
      <c r="A15" s="223" t="str">
        <f>'11.F&amp;V Crop Production details'!A76</f>
        <v>Okra</v>
      </c>
      <c r="B15" s="230">
        <f>'11.F&amp;V Crop Production details'!B76</f>
        <v>0</v>
      </c>
      <c r="C15" s="230">
        <f>'11.F&amp;V Crop Production details'!C76</f>
        <v>0</v>
      </c>
      <c r="D15" s="230">
        <f>'11.F&amp;V Crop Production details'!D76</f>
        <v>0</v>
      </c>
      <c r="E15" s="230">
        <f>'11.F&amp;V Crop Production details'!E76</f>
        <v>0</v>
      </c>
      <c r="F15" s="230">
        <f>'11.F&amp;V Crop Production details'!F76</f>
        <v>0</v>
      </c>
      <c r="G15" s="230">
        <f>'11.F&amp;V Crop Production details'!G76</f>
        <v>0</v>
      </c>
      <c r="H15" s="230">
        <f>'11.F&amp;V Crop Production details'!H76</f>
        <v>0</v>
      </c>
    </row>
    <row r="16" spans="1:8" hidden="1">
      <c r="A16" s="223" t="str">
        <f>'11.F&amp;V Crop Production details'!A77</f>
        <v>Chilli</v>
      </c>
      <c r="B16" s="230">
        <f>'11.F&amp;V Crop Production details'!B77</f>
        <v>0</v>
      </c>
      <c r="C16" s="230">
        <f>'11.F&amp;V Crop Production details'!C77</f>
        <v>0</v>
      </c>
      <c r="D16" s="230">
        <f>'11.F&amp;V Crop Production details'!D77</f>
        <v>0</v>
      </c>
      <c r="E16" s="230">
        <f>'11.F&amp;V Crop Production details'!E77</f>
        <v>0</v>
      </c>
      <c r="F16" s="230">
        <f>'11.F&amp;V Crop Production details'!F77</f>
        <v>0</v>
      </c>
      <c r="G16" s="230">
        <f>'11.F&amp;V Crop Production details'!G77</f>
        <v>0</v>
      </c>
      <c r="H16" s="230">
        <f>'11.F&amp;V Crop Production details'!H77</f>
        <v>0</v>
      </c>
    </row>
    <row r="17" spans="1:8" hidden="1">
      <c r="A17" s="223" t="str">
        <f>'11.F&amp;V Crop Production details'!A78</f>
        <v>Potato</v>
      </c>
      <c r="B17" s="230">
        <f>'11.F&amp;V Crop Production details'!B78</f>
        <v>0</v>
      </c>
      <c r="C17" s="230">
        <f>'11.F&amp;V Crop Production details'!C78</f>
        <v>0</v>
      </c>
      <c r="D17" s="230">
        <f>'11.F&amp;V Crop Production details'!D78</f>
        <v>0</v>
      </c>
      <c r="E17" s="230">
        <f>'11.F&amp;V Crop Production details'!E78</f>
        <v>0</v>
      </c>
      <c r="F17" s="230">
        <f>'11.F&amp;V Crop Production details'!F78</f>
        <v>0</v>
      </c>
      <c r="G17" s="230">
        <f>'11.F&amp;V Crop Production details'!G78</f>
        <v>0</v>
      </c>
      <c r="H17" s="230">
        <f>'11.F&amp;V Crop Production details'!H78</f>
        <v>0</v>
      </c>
    </row>
    <row r="18" spans="1:8" hidden="1">
      <c r="A18" s="223">
        <f>'11.F&amp;V Crop Production details'!A79</f>
        <v>0</v>
      </c>
      <c r="B18" s="230">
        <f>'11.F&amp;V Crop Production details'!B79</f>
        <v>0</v>
      </c>
      <c r="C18" s="230">
        <f>'11.F&amp;V Crop Production details'!C79</f>
        <v>0</v>
      </c>
      <c r="D18" s="230">
        <f>'11.F&amp;V Crop Production details'!D79</f>
        <v>0</v>
      </c>
      <c r="E18" s="230">
        <f>'11.F&amp;V Crop Production details'!E79</f>
        <v>0</v>
      </c>
      <c r="F18" s="230">
        <f>'11.F&amp;V Crop Production details'!F79</f>
        <v>0</v>
      </c>
      <c r="G18" s="230">
        <f>'11.F&amp;V Crop Production details'!G79</f>
        <v>0</v>
      </c>
      <c r="H18" s="230">
        <f>'11.F&amp;V Crop Production details'!H79</f>
        <v>0</v>
      </c>
    </row>
    <row r="19" spans="1:8" hidden="1">
      <c r="A19" s="223">
        <f>'11.F&amp;V Crop Production details'!A80</f>
        <v>0</v>
      </c>
      <c r="B19" s="230">
        <f>'11.F&amp;V Crop Production details'!B80</f>
        <v>0</v>
      </c>
      <c r="C19" s="230">
        <f>'11.F&amp;V Crop Production details'!C80</f>
        <v>0</v>
      </c>
      <c r="D19" s="230">
        <f>'11.F&amp;V Crop Production details'!D80</f>
        <v>0</v>
      </c>
      <c r="E19" s="230">
        <f>'11.F&amp;V Crop Production details'!E80</f>
        <v>0</v>
      </c>
      <c r="F19" s="230">
        <f>'11.F&amp;V Crop Production details'!F80</f>
        <v>0</v>
      </c>
      <c r="G19" s="230">
        <f>'11.F&amp;V Crop Production details'!G80</f>
        <v>0</v>
      </c>
      <c r="H19" s="230">
        <f>'11.F&amp;V Crop Production details'!H80</f>
        <v>0</v>
      </c>
    </row>
    <row r="20" spans="1:8" hidden="1">
      <c r="A20" s="223">
        <f>'11.F&amp;V Crop Production details'!A81</f>
        <v>0</v>
      </c>
      <c r="B20" s="230">
        <f>'11.F&amp;V Crop Production details'!B81</f>
        <v>0</v>
      </c>
      <c r="C20" s="230">
        <f>'11.F&amp;V Crop Production details'!C81</f>
        <v>0</v>
      </c>
      <c r="D20" s="230">
        <f>'11.F&amp;V Crop Production details'!D81</f>
        <v>0</v>
      </c>
      <c r="E20" s="230">
        <f>'11.F&amp;V Crop Production details'!E81</f>
        <v>0</v>
      </c>
      <c r="F20" s="230">
        <f>'11.F&amp;V Crop Production details'!F81</f>
        <v>0</v>
      </c>
      <c r="G20" s="230">
        <f>'11.F&amp;V Crop Production details'!G81</f>
        <v>0</v>
      </c>
      <c r="H20" s="230">
        <f>'11.F&amp;V Crop Production details'!H81</f>
        <v>0</v>
      </c>
    </row>
    <row r="21" spans="1:8" hidden="1">
      <c r="A21" s="223">
        <f>'11.F&amp;V Crop Production details'!A82</f>
        <v>0</v>
      </c>
      <c r="B21" s="230">
        <f>'11.F&amp;V Crop Production details'!B82</f>
        <v>0</v>
      </c>
      <c r="C21" s="230">
        <f>'11.F&amp;V Crop Production details'!C82</f>
        <v>0</v>
      </c>
      <c r="D21" s="230">
        <f>'11.F&amp;V Crop Production details'!D82</f>
        <v>0</v>
      </c>
      <c r="E21" s="230">
        <f>'11.F&amp;V Crop Production details'!E82</f>
        <v>0</v>
      </c>
      <c r="F21" s="230">
        <f>'11.F&amp;V Crop Production details'!F82</f>
        <v>0</v>
      </c>
      <c r="G21" s="230">
        <f>'11.F&amp;V Crop Production details'!G82</f>
        <v>0</v>
      </c>
      <c r="H21" s="230">
        <f>'11.F&amp;V Crop Production details'!H82</f>
        <v>0</v>
      </c>
    </row>
    <row r="22" spans="1:8" hidden="1">
      <c r="A22" s="223" t="str">
        <f>'11.F&amp;V Crop Production details'!A83</f>
        <v>Onion</v>
      </c>
      <c r="B22" s="230">
        <f>'11.F&amp;V Crop Production details'!B83</f>
        <v>0</v>
      </c>
      <c r="C22" s="230">
        <f>'11.F&amp;V Crop Production details'!C83</f>
        <v>0</v>
      </c>
      <c r="D22" s="230">
        <f>'11.F&amp;V Crop Production details'!D83</f>
        <v>0</v>
      </c>
      <c r="E22" s="230">
        <f>'11.F&amp;V Crop Production details'!E83</f>
        <v>0</v>
      </c>
      <c r="F22" s="230">
        <f>'11.F&amp;V Crop Production details'!F83</f>
        <v>0</v>
      </c>
      <c r="G22" s="230">
        <f>'11.F&amp;V Crop Production details'!G83</f>
        <v>0</v>
      </c>
      <c r="H22" s="230">
        <f>'11.F&amp;V Crop Production details'!H83</f>
        <v>0</v>
      </c>
    </row>
    <row r="23" spans="1:8" hidden="1">
      <c r="A23" s="223" t="str">
        <f>'11.F&amp;V Crop Production details'!A84</f>
        <v>Tomato</v>
      </c>
      <c r="B23" s="230">
        <f>'11.F&amp;V Crop Production details'!B84</f>
        <v>0</v>
      </c>
      <c r="C23" s="230">
        <f>'11.F&amp;V Crop Production details'!C84</f>
        <v>0</v>
      </c>
      <c r="D23" s="230">
        <f>'11.F&amp;V Crop Production details'!D84</f>
        <v>0</v>
      </c>
      <c r="E23" s="230">
        <f>'11.F&amp;V Crop Production details'!E84</f>
        <v>0</v>
      </c>
      <c r="F23" s="230">
        <f>'11.F&amp;V Crop Production details'!F84</f>
        <v>0</v>
      </c>
      <c r="G23" s="230">
        <f>'11.F&amp;V Crop Production details'!G84</f>
        <v>0</v>
      </c>
      <c r="H23" s="230">
        <f>'11.F&amp;V Crop Production details'!H84</f>
        <v>0</v>
      </c>
    </row>
    <row r="24" spans="1:8" hidden="1">
      <c r="A24" s="223" t="str">
        <f>'11.F&amp;V Crop Production details'!A85</f>
        <v>Okra</v>
      </c>
      <c r="B24" s="230">
        <f>'11.F&amp;V Crop Production details'!B85</f>
        <v>0</v>
      </c>
      <c r="C24" s="230">
        <f>'11.F&amp;V Crop Production details'!C85</f>
        <v>0</v>
      </c>
      <c r="D24" s="230">
        <f>'11.F&amp;V Crop Production details'!D85</f>
        <v>0</v>
      </c>
      <c r="E24" s="230">
        <f>'11.F&amp;V Crop Production details'!E85</f>
        <v>0</v>
      </c>
      <c r="F24" s="230">
        <f>'11.F&amp;V Crop Production details'!F85</f>
        <v>0</v>
      </c>
      <c r="G24" s="230">
        <f>'11.F&amp;V Crop Production details'!G85</f>
        <v>0</v>
      </c>
      <c r="H24" s="230">
        <f>'11.F&amp;V Crop Production details'!H85</f>
        <v>0</v>
      </c>
    </row>
    <row r="25" spans="1:8" hidden="1">
      <c r="A25" s="223" t="str">
        <f>'11.F&amp;V Crop Production details'!A86</f>
        <v>Chilli</v>
      </c>
      <c r="B25" s="230">
        <f>'11.F&amp;V Crop Production details'!B86</f>
        <v>0</v>
      </c>
      <c r="C25" s="230">
        <f>'11.F&amp;V Crop Production details'!C86</f>
        <v>0</v>
      </c>
      <c r="D25" s="230">
        <f>'11.F&amp;V Crop Production details'!D86</f>
        <v>0</v>
      </c>
      <c r="E25" s="230">
        <f>'11.F&amp;V Crop Production details'!E86</f>
        <v>0</v>
      </c>
      <c r="F25" s="230">
        <f>'11.F&amp;V Crop Production details'!F86</f>
        <v>0</v>
      </c>
      <c r="G25" s="230">
        <f>'11.F&amp;V Crop Production details'!G86</f>
        <v>0</v>
      </c>
      <c r="H25" s="230">
        <f>'11.F&amp;V Crop Production details'!H86</f>
        <v>0</v>
      </c>
    </row>
    <row r="26" spans="1:8" hidden="1">
      <c r="A26" s="223" t="str">
        <f>'11.F&amp;V Crop Production details'!A87</f>
        <v>Brinjal</v>
      </c>
      <c r="B26" s="230">
        <f>'11.F&amp;V Crop Production details'!B87</f>
        <v>0</v>
      </c>
      <c r="C26" s="230">
        <f>'11.F&amp;V Crop Production details'!C87</f>
        <v>0</v>
      </c>
      <c r="D26" s="230">
        <f>'11.F&amp;V Crop Production details'!D87</f>
        <v>0</v>
      </c>
      <c r="E26" s="230">
        <f>'11.F&amp;V Crop Production details'!E87</f>
        <v>0</v>
      </c>
      <c r="F26" s="230">
        <f>'11.F&amp;V Crop Production details'!F87</f>
        <v>0</v>
      </c>
      <c r="G26" s="230">
        <f>'11.F&amp;V Crop Production details'!G87</f>
        <v>0</v>
      </c>
      <c r="H26" s="230">
        <f>'11.F&amp;V Crop Production details'!H87</f>
        <v>0</v>
      </c>
    </row>
    <row r="27" spans="1:8" hidden="1">
      <c r="A27" s="223" t="str">
        <f>'11.F&amp;V Crop Production details'!A88</f>
        <v>Cashew</v>
      </c>
      <c r="B27" s="230">
        <f>'11.F&amp;V Crop Production details'!B88</f>
        <v>0</v>
      </c>
      <c r="C27" s="230">
        <f>'11.F&amp;V Crop Production details'!C88</f>
        <v>0</v>
      </c>
      <c r="D27" s="230">
        <f>'11.F&amp;V Crop Production details'!D88</f>
        <v>0</v>
      </c>
      <c r="E27" s="230">
        <f>'11.F&amp;V Crop Production details'!E88</f>
        <v>0</v>
      </c>
      <c r="F27" s="230">
        <f>'11.F&amp;V Crop Production details'!F88</f>
        <v>0</v>
      </c>
      <c r="G27" s="230">
        <f>'11.F&amp;V Crop Production details'!G88</f>
        <v>0</v>
      </c>
      <c r="H27" s="230">
        <f>'11.F&amp;V Crop Production details'!H88</f>
        <v>0</v>
      </c>
    </row>
    <row r="28" spans="1:8" hidden="1">
      <c r="A28" s="223">
        <f>'11.F&amp;V Crop Production details'!A89</f>
        <v>0</v>
      </c>
      <c r="B28" s="230">
        <f>'11.F&amp;V Crop Production details'!B89</f>
        <v>0</v>
      </c>
      <c r="C28" s="230">
        <f>'11.F&amp;V Crop Production details'!C89</f>
        <v>0</v>
      </c>
      <c r="D28" s="230">
        <f>'11.F&amp;V Crop Production details'!D89</f>
        <v>0</v>
      </c>
      <c r="E28" s="230">
        <f>'11.F&amp;V Crop Production details'!E89</f>
        <v>0</v>
      </c>
      <c r="F28" s="230">
        <f>'11.F&amp;V Crop Production details'!F89</f>
        <v>0</v>
      </c>
      <c r="G28" s="230">
        <f>'11.F&amp;V Crop Production details'!G89</f>
        <v>0</v>
      </c>
      <c r="H28" s="230">
        <f>'11.F&amp;V Crop Production details'!H89</f>
        <v>0</v>
      </c>
    </row>
    <row r="29" spans="1:8" hidden="1">
      <c r="A29" s="223">
        <f>'11.F&amp;V Crop Production details'!A90</f>
        <v>0</v>
      </c>
      <c r="B29" s="230">
        <f>'11.F&amp;V Crop Production details'!B90</f>
        <v>0</v>
      </c>
      <c r="C29" s="230">
        <f>'11.F&amp;V Crop Production details'!C90</f>
        <v>0</v>
      </c>
      <c r="D29" s="230">
        <f>'11.F&amp;V Crop Production details'!D90</f>
        <v>0</v>
      </c>
      <c r="E29" s="230">
        <f>'11.F&amp;V Crop Production details'!E90</f>
        <v>0</v>
      </c>
      <c r="F29" s="230">
        <f>'11.F&amp;V Crop Production details'!F90</f>
        <v>0</v>
      </c>
      <c r="G29" s="230">
        <f>'11.F&amp;V Crop Production details'!G90</f>
        <v>0</v>
      </c>
      <c r="H29" s="230">
        <f>'11.F&amp;V Crop Production details'!H90</f>
        <v>0</v>
      </c>
    </row>
    <row r="30" spans="1:8" hidden="1">
      <c r="A30" s="223">
        <f>'11.F&amp;V Crop Production details'!A91</f>
        <v>0</v>
      </c>
      <c r="B30" s="230">
        <f>'11.F&amp;V Crop Production details'!B91</f>
        <v>0</v>
      </c>
      <c r="C30" s="230">
        <f>'11.F&amp;V Crop Production details'!C91</f>
        <v>0</v>
      </c>
      <c r="D30" s="230">
        <f>'11.F&amp;V Crop Production details'!D91</f>
        <v>0</v>
      </c>
      <c r="E30" s="230">
        <f>'11.F&amp;V Crop Production details'!E91</f>
        <v>0</v>
      </c>
      <c r="F30" s="230">
        <f>'11.F&amp;V Crop Production details'!F91</f>
        <v>0</v>
      </c>
      <c r="G30" s="230">
        <f>'11.F&amp;V Crop Production details'!G91</f>
        <v>0</v>
      </c>
      <c r="H30" s="230">
        <f>'11.F&amp;V Crop Production details'!H91</f>
        <v>0</v>
      </c>
    </row>
    <row r="31" spans="1:8" hidden="1">
      <c r="A31" s="223">
        <f>'11.F&amp;V Crop Production details'!A92</f>
        <v>0</v>
      </c>
      <c r="B31" s="230">
        <f>'11.F&amp;V Crop Production details'!B92</f>
        <v>0</v>
      </c>
      <c r="C31" s="230">
        <f>'11.F&amp;V Crop Production details'!C92</f>
        <v>0</v>
      </c>
      <c r="D31" s="230">
        <f>'11.F&amp;V Crop Production details'!D92</f>
        <v>0</v>
      </c>
      <c r="E31" s="230">
        <f>'11.F&amp;V Crop Production details'!E92</f>
        <v>0</v>
      </c>
      <c r="F31" s="230">
        <f>'11.F&amp;V Crop Production details'!F92</f>
        <v>0</v>
      </c>
      <c r="G31" s="230">
        <f>'11.F&amp;V Crop Production details'!G92</f>
        <v>0</v>
      </c>
      <c r="H31" s="230">
        <f>'11.F&amp;V Crop Production details'!H92</f>
        <v>0</v>
      </c>
    </row>
    <row r="32" spans="1:8" hidden="1">
      <c r="A32" s="223">
        <f>'11.F&amp;V Crop Production details'!A93</f>
        <v>0</v>
      </c>
      <c r="B32" s="230">
        <f>'11.F&amp;V Crop Production details'!B93</f>
        <v>0</v>
      </c>
      <c r="C32" s="230">
        <f>'11.F&amp;V Crop Production details'!C93</f>
        <v>0</v>
      </c>
      <c r="D32" s="230">
        <f>'11.F&amp;V Crop Production details'!D93</f>
        <v>0</v>
      </c>
      <c r="E32" s="230">
        <f>'11.F&amp;V Crop Production details'!E93</f>
        <v>0</v>
      </c>
      <c r="F32" s="230">
        <f>'11.F&amp;V Crop Production details'!F93</f>
        <v>0</v>
      </c>
      <c r="G32" s="230">
        <f>'11.F&amp;V Crop Production details'!G93</f>
        <v>0</v>
      </c>
      <c r="H32" s="230">
        <f>'11.F&amp;V Crop Production details'!H93</f>
        <v>0</v>
      </c>
    </row>
    <row r="33" spans="1:8" hidden="1">
      <c r="A33" s="223">
        <f>'11.F&amp;V Crop Production details'!A94</f>
        <v>0</v>
      </c>
      <c r="B33" s="230">
        <f>'11.F&amp;V Crop Production details'!B94</f>
        <v>0</v>
      </c>
      <c r="C33" s="230">
        <f>'11.F&amp;V Crop Production details'!C94</f>
        <v>0</v>
      </c>
      <c r="D33" s="230">
        <f>'11.F&amp;V Crop Production details'!D94</f>
        <v>0</v>
      </c>
      <c r="E33" s="230">
        <f>'11.F&amp;V Crop Production details'!E94</f>
        <v>0</v>
      </c>
      <c r="F33" s="230">
        <f>'11.F&amp;V Crop Production details'!F94</f>
        <v>0</v>
      </c>
      <c r="G33" s="230">
        <f>'11.F&amp;V Crop Production details'!G94</f>
        <v>0</v>
      </c>
      <c r="H33" s="230">
        <f>'11.F&amp;V Crop Production details'!H94</f>
        <v>0</v>
      </c>
    </row>
    <row r="34" spans="1:8">
      <c r="A34" s="223" t="str">
        <f>'11.F&amp;V Crop Production details'!A95</f>
        <v>Cashew</v>
      </c>
      <c r="B34" s="230">
        <f>'11.F&amp;V Crop Production details'!B95</f>
        <v>10012.463999999998</v>
      </c>
      <c r="C34" s="230">
        <f>'11.F&amp;V Crop Production details'!C95</f>
        <v>10846.835999999999</v>
      </c>
      <c r="D34" s="230">
        <f>'11.F&amp;V Crop Production details'!D95</f>
        <v>11681.208000000001</v>
      </c>
      <c r="E34" s="230">
        <f>'11.F&amp;V Crop Production details'!E95</f>
        <v>12515.580000000002</v>
      </c>
      <c r="F34" s="230">
        <f>'11.F&amp;V Crop Production details'!F95</f>
        <v>13349.952000000001</v>
      </c>
      <c r="G34" s="230">
        <f>'11.F&amp;V Crop Production details'!G95</f>
        <v>14184.324000000002</v>
      </c>
      <c r="H34" s="230">
        <f>'11.F&amp;V Crop Production details'!H95</f>
        <v>15018.696000000004</v>
      </c>
    </row>
    <row r="35" spans="1:8" hidden="1">
      <c r="A35" s="223" t="str">
        <f>'11.F&amp;V Crop Production details'!A96</f>
        <v>Custard Apple</v>
      </c>
      <c r="B35" s="230">
        <f>'11.F&amp;V Crop Production details'!B96</f>
        <v>0</v>
      </c>
      <c r="C35" s="230">
        <f>'11.F&amp;V Crop Production details'!C96</f>
        <v>0</v>
      </c>
      <c r="D35" s="230">
        <f>'11.F&amp;V Crop Production details'!D96</f>
        <v>0</v>
      </c>
      <c r="E35" s="230">
        <f>'11.F&amp;V Crop Production details'!E96</f>
        <v>0</v>
      </c>
      <c r="F35" s="230">
        <f>'11.F&amp;V Crop Production details'!F96</f>
        <v>0</v>
      </c>
      <c r="G35" s="230">
        <f>'11.F&amp;V Crop Production details'!G96</f>
        <v>0</v>
      </c>
      <c r="H35" s="230">
        <f>'11.F&amp;V Crop Production details'!H96</f>
        <v>0</v>
      </c>
    </row>
    <row r="36" spans="1:8" hidden="1">
      <c r="A36" s="223" t="str">
        <f>'11.F&amp;V Crop Production details'!A97</f>
        <v>Guava</v>
      </c>
      <c r="B36" s="230">
        <f>'11.F&amp;V Crop Production details'!B97</f>
        <v>0</v>
      </c>
      <c r="C36" s="230">
        <f>'11.F&amp;V Crop Production details'!C97</f>
        <v>0</v>
      </c>
      <c r="D36" s="230">
        <f>'11.F&amp;V Crop Production details'!D97</f>
        <v>0</v>
      </c>
      <c r="E36" s="230">
        <f>'11.F&amp;V Crop Production details'!E97</f>
        <v>0</v>
      </c>
      <c r="F36" s="230">
        <f>'11.F&amp;V Crop Production details'!F97</f>
        <v>0</v>
      </c>
      <c r="G36" s="230">
        <f>'11.F&amp;V Crop Production details'!G97</f>
        <v>0</v>
      </c>
      <c r="H36" s="230">
        <f>'11.F&amp;V Crop Production details'!H97</f>
        <v>0</v>
      </c>
    </row>
    <row r="37" spans="1:8" hidden="1">
      <c r="A37" s="223" t="str">
        <f>'11.F&amp;V Crop Production details'!A98</f>
        <v>Citrus</v>
      </c>
      <c r="B37" s="230">
        <f>'11.F&amp;V Crop Production details'!B98</f>
        <v>0</v>
      </c>
      <c r="C37" s="230">
        <f>'11.F&amp;V Crop Production details'!C98</f>
        <v>0</v>
      </c>
      <c r="D37" s="230">
        <f>'11.F&amp;V Crop Production details'!D98</f>
        <v>0</v>
      </c>
      <c r="E37" s="230">
        <f>'11.F&amp;V Crop Production details'!E98</f>
        <v>0</v>
      </c>
      <c r="F37" s="230">
        <f>'11.F&amp;V Crop Production details'!F98</f>
        <v>0</v>
      </c>
      <c r="G37" s="230">
        <f>'11.F&amp;V Crop Production details'!G98</f>
        <v>0</v>
      </c>
      <c r="H37" s="230">
        <f>'11.F&amp;V Crop Production details'!H98</f>
        <v>0</v>
      </c>
    </row>
    <row r="38" spans="1:8">
      <c r="A38" s="223"/>
      <c r="B38" s="230"/>
      <c r="C38" s="230"/>
      <c r="D38" s="230"/>
      <c r="E38" s="230"/>
      <c r="F38" s="230"/>
      <c r="G38" s="230"/>
      <c r="H38" s="230"/>
    </row>
    <row r="39" spans="1:8">
      <c r="A39" s="223" t="s">
        <v>594</v>
      </c>
      <c r="B39" s="230">
        <f>SUM(B13:B37)</f>
        <v>10012.463999999998</v>
      </c>
      <c r="C39" s="230">
        <f t="shared" ref="C39:H39" si="1">SUM(C13:C37)</f>
        <v>10846.835999999999</v>
      </c>
      <c r="D39" s="230">
        <f t="shared" si="1"/>
        <v>11681.208000000001</v>
      </c>
      <c r="E39" s="230">
        <f t="shared" si="1"/>
        <v>12515.580000000002</v>
      </c>
      <c r="F39" s="230">
        <f t="shared" si="1"/>
        <v>13349.952000000001</v>
      </c>
      <c r="G39" s="230">
        <f t="shared" si="1"/>
        <v>14184.324000000002</v>
      </c>
      <c r="H39" s="230">
        <f t="shared" si="1"/>
        <v>15018.696000000004</v>
      </c>
    </row>
    <row r="40" spans="1:8">
      <c r="A40" s="231" t="s">
        <v>570</v>
      </c>
      <c r="B40" s="221">
        <v>0.7</v>
      </c>
      <c r="C40" s="221">
        <f>B40</f>
        <v>0.7</v>
      </c>
      <c r="D40" s="221">
        <f t="shared" ref="D40:H40" si="2">C40</f>
        <v>0.7</v>
      </c>
      <c r="E40" s="221">
        <f t="shared" si="2"/>
        <v>0.7</v>
      </c>
      <c r="F40" s="221">
        <f t="shared" si="2"/>
        <v>0.7</v>
      </c>
      <c r="G40" s="221">
        <f t="shared" si="2"/>
        <v>0.7</v>
      </c>
      <c r="H40" s="221">
        <f t="shared" si="2"/>
        <v>0.7</v>
      </c>
    </row>
    <row r="41" spans="1:8">
      <c r="A41" s="232" t="s">
        <v>595</v>
      </c>
      <c r="B41" s="233">
        <f>1-B40</f>
        <v>0.30000000000000004</v>
      </c>
      <c r="C41" s="233">
        <f t="shared" ref="C41:H41" si="3">1-C40</f>
        <v>0.30000000000000004</v>
      </c>
      <c r="D41" s="233">
        <f t="shared" si="3"/>
        <v>0.30000000000000004</v>
      </c>
      <c r="E41" s="233">
        <f t="shared" si="3"/>
        <v>0.30000000000000004</v>
      </c>
      <c r="F41" s="233">
        <f t="shared" si="3"/>
        <v>0.30000000000000004</v>
      </c>
      <c r="G41" s="233">
        <f t="shared" si="3"/>
        <v>0.30000000000000004</v>
      </c>
      <c r="H41" s="233">
        <f t="shared" si="3"/>
        <v>0.30000000000000004</v>
      </c>
    </row>
    <row r="42" spans="1:8" hidden="1">
      <c r="A42" s="234" t="s">
        <v>570</v>
      </c>
      <c r="B42" s="235">
        <f>B39*B40</f>
        <v>7008.7247999999981</v>
      </c>
      <c r="C42" s="235">
        <f t="shared" ref="C42:H42" si="4">C39*C40</f>
        <v>7592.7851999999993</v>
      </c>
      <c r="D42" s="235">
        <f t="shared" si="4"/>
        <v>8176.8455999999996</v>
      </c>
      <c r="E42" s="235">
        <f t="shared" si="4"/>
        <v>8760.9060000000009</v>
      </c>
      <c r="F42" s="235">
        <f t="shared" si="4"/>
        <v>9344.9663999999993</v>
      </c>
      <c r="G42" s="235">
        <f t="shared" si="4"/>
        <v>9929.0268000000015</v>
      </c>
      <c r="H42" s="235">
        <f t="shared" si="4"/>
        <v>10513.087200000002</v>
      </c>
    </row>
    <row r="43" spans="1:8" hidden="1">
      <c r="A43" s="234" t="s">
        <v>571</v>
      </c>
      <c r="B43" s="236"/>
      <c r="C43" s="236"/>
      <c r="D43" s="236"/>
      <c r="E43" s="236"/>
      <c r="F43" s="236"/>
      <c r="G43" s="236"/>
      <c r="H43" s="236"/>
    </row>
    <row r="44" spans="1:8" hidden="1">
      <c r="A44" s="223" t="str">
        <f t="shared" ref="A44:A61" si="5">A13</f>
        <v>Onion</v>
      </c>
      <c r="B44" s="230">
        <f t="shared" ref="B44:B61" si="6">B13*$B$41</f>
        <v>0</v>
      </c>
      <c r="C44" s="230">
        <f t="shared" ref="C44:C61" si="7">C13*$C$41</f>
        <v>0</v>
      </c>
      <c r="D44" s="230">
        <f t="shared" ref="D44:D61" si="8">D13*$D$41</f>
        <v>0</v>
      </c>
      <c r="E44" s="230">
        <f t="shared" ref="E44:E61" si="9">E13*$E$41</f>
        <v>0</v>
      </c>
      <c r="F44" s="230">
        <f t="shared" ref="F44:F61" si="10">F13*$F$41</f>
        <v>0</v>
      </c>
      <c r="G44" s="230">
        <f t="shared" ref="G44:G61" si="11">G13*$G$41</f>
        <v>0</v>
      </c>
      <c r="H44" s="230">
        <f t="shared" ref="H44:H61" si="12">H13*$H$41</f>
        <v>0</v>
      </c>
    </row>
    <row r="45" spans="1:8" hidden="1">
      <c r="A45" s="223" t="str">
        <f t="shared" si="5"/>
        <v>Tomato</v>
      </c>
      <c r="B45" s="230">
        <f t="shared" si="6"/>
        <v>0</v>
      </c>
      <c r="C45" s="230">
        <f t="shared" si="7"/>
        <v>0</v>
      </c>
      <c r="D45" s="230">
        <f t="shared" si="8"/>
        <v>0</v>
      </c>
      <c r="E45" s="230">
        <f t="shared" si="9"/>
        <v>0</v>
      </c>
      <c r="F45" s="230">
        <f t="shared" si="10"/>
        <v>0</v>
      </c>
      <c r="G45" s="230">
        <f t="shared" si="11"/>
        <v>0</v>
      </c>
      <c r="H45" s="230">
        <f t="shared" si="12"/>
        <v>0</v>
      </c>
    </row>
    <row r="46" spans="1:8" hidden="1">
      <c r="A46" s="223" t="str">
        <f t="shared" si="5"/>
        <v>Okra</v>
      </c>
      <c r="B46" s="230">
        <f t="shared" si="6"/>
        <v>0</v>
      </c>
      <c r="C46" s="230">
        <f t="shared" si="7"/>
        <v>0</v>
      </c>
      <c r="D46" s="230">
        <f t="shared" si="8"/>
        <v>0</v>
      </c>
      <c r="E46" s="230">
        <f t="shared" si="9"/>
        <v>0</v>
      </c>
      <c r="F46" s="230">
        <f t="shared" si="10"/>
        <v>0</v>
      </c>
      <c r="G46" s="230">
        <f t="shared" si="11"/>
        <v>0</v>
      </c>
      <c r="H46" s="230">
        <f t="shared" si="12"/>
        <v>0</v>
      </c>
    </row>
    <row r="47" spans="1:8" hidden="1">
      <c r="A47" s="223" t="str">
        <f t="shared" si="5"/>
        <v>Chilli</v>
      </c>
      <c r="B47" s="230">
        <f t="shared" si="6"/>
        <v>0</v>
      </c>
      <c r="C47" s="230">
        <f t="shared" si="7"/>
        <v>0</v>
      </c>
      <c r="D47" s="230">
        <f t="shared" si="8"/>
        <v>0</v>
      </c>
      <c r="E47" s="230">
        <f t="shared" si="9"/>
        <v>0</v>
      </c>
      <c r="F47" s="230">
        <f t="shared" si="10"/>
        <v>0</v>
      </c>
      <c r="G47" s="230">
        <f t="shared" si="11"/>
        <v>0</v>
      </c>
      <c r="H47" s="230">
        <f t="shared" si="12"/>
        <v>0</v>
      </c>
    </row>
    <row r="48" spans="1:8" hidden="1">
      <c r="A48" s="223" t="str">
        <f t="shared" si="5"/>
        <v>Potato</v>
      </c>
      <c r="B48" s="230">
        <f t="shared" si="6"/>
        <v>0</v>
      </c>
      <c r="C48" s="230">
        <f t="shared" si="7"/>
        <v>0</v>
      </c>
      <c r="D48" s="230">
        <f t="shared" si="8"/>
        <v>0</v>
      </c>
      <c r="E48" s="230">
        <f t="shared" si="9"/>
        <v>0</v>
      </c>
      <c r="F48" s="230">
        <f t="shared" si="10"/>
        <v>0</v>
      </c>
      <c r="G48" s="230">
        <f t="shared" si="11"/>
        <v>0</v>
      </c>
      <c r="H48" s="230">
        <f t="shared" si="12"/>
        <v>0</v>
      </c>
    </row>
    <row r="49" spans="1:8" hidden="1">
      <c r="A49" s="223">
        <f t="shared" si="5"/>
        <v>0</v>
      </c>
      <c r="B49" s="230">
        <f t="shared" si="6"/>
        <v>0</v>
      </c>
      <c r="C49" s="230">
        <f t="shared" si="7"/>
        <v>0</v>
      </c>
      <c r="D49" s="230">
        <f t="shared" si="8"/>
        <v>0</v>
      </c>
      <c r="E49" s="230">
        <f t="shared" si="9"/>
        <v>0</v>
      </c>
      <c r="F49" s="230">
        <f t="shared" si="10"/>
        <v>0</v>
      </c>
      <c r="G49" s="230">
        <f t="shared" si="11"/>
        <v>0</v>
      </c>
      <c r="H49" s="230">
        <f t="shared" si="12"/>
        <v>0</v>
      </c>
    </row>
    <row r="50" spans="1:8" hidden="1">
      <c r="A50" s="223">
        <f t="shared" si="5"/>
        <v>0</v>
      </c>
      <c r="B50" s="230">
        <f t="shared" si="6"/>
        <v>0</v>
      </c>
      <c r="C50" s="230">
        <f t="shared" si="7"/>
        <v>0</v>
      </c>
      <c r="D50" s="230">
        <f t="shared" si="8"/>
        <v>0</v>
      </c>
      <c r="E50" s="230">
        <f t="shared" si="9"/>
        <v>0</v>
      </c>
      <c r="F50" s="230">
        <f t="shared" si="10"/>
        <v>0</v>
      </c>
      <c r="G50" s="230">
        <f t="shared" si="11"/>
        <v>0</v>
      </c>
      <c r="H50" s="230">
        <f t="shared" si="12"/>
        <v>0</v>
      </c>
    </row>
    <row r="51" spans="1:8" hidden="1">
      <c r="A51" s="223">
        <f t="shared" si="5"/>
        <v>0</v>
      </c>
      <c r="B51" s="230">
        <f t="shared" si="6"/>
        <v>0</v>
      </c>
      <c r="C51" s="230">
        <f t="shared" si="7"/>
        <v>0</v>
      </c>
      <c r="D51" s="230">
        <f t="shared" si="8"/>
        <v>0</v>
      </c>
      <c r="E51" s="230">
        <f t="shared" si="9"/>
        <v>0</v>
      </c>
      <c r="F51" s="230">
        <f t="shared" si="10"/>
        <v>0</v>
      </c>
      <c r="G51" s="230">
        <f t="shared" si="11"/>
        <v>0</v>
      </c>
      <c r="H51" s="230">
        <f t="shared" si="12"/>
        <v>0</v>
      </c>
    </row>
    <row r="52" spans="1:8" hidden="1">
      <c r="A52" s="223">
        <f t="shared" si="5"/>
        <v>0</v>
      </c>
      <c r="B52" s="230">
        <f t="shared" si="6"/>
        <v>0</v>
      </c>
      <c r="C52" s="230">
        <f t="shared" si="7"/>
        <v>0</v>
      </c>
      <c r="D52" s="230">
        <f t="shared" si="8"/>
        <v>0</v>
      </c>
      <c r="E52" s="230">
        <f t="shared" si="9"/>
        <v>0</v>
      </c>
      <c r="F52" s="230">
        <f t="shared" si="10"/>
        <v>0</v>
      </c>
      <c r="G52" s="230">
        <f t="shared" si="11"/>
        <v>0</v>
      </c>
      <c r="H52" s="230">
        <f t="shared" si="12"/>
        <v>0</v>
      </c>
    </row>
    <row r="53" spans="1:8" hidden="1">
      <c r="A53" s="223" t="str">
        <f t="shared" si="5"/>
        <v>Onion</v>
      </c>
      <c r="B53" s="230">
        <f t="shared" si="6"/>
        <v>0</v>
      </c>
      <c r="C53" s="230">
        <f t="shared" si="7"/>
        <v>0</v>
      </c>
      <c r="D53" s="230">
        <f t="shared" si="8"/>
        <v>0</v>
      </c>
      <c r="E53" s="230">
        <f t="shared" si="9"/>
        <v>0</v>
      </c>
      <c r="F53" s="230">
        <f t="shared" si="10"/>
        <v>0</v>
      </c>
      <c r="G53" s="230">
        <f t="shared" si="11"/>
        <v>0</v>
      </c>
      <c r="H53" s="230">
        <f t="shared" si="12"/>
        <v>0</v>
      </c>
    </row>
    <row r="54" spans="1:8" hidden="1">
      <c r="A54" s="223" t="str">
        <f t="shared" si="5"/>
        <v>Tomato</v>
      </c>
      <c r="B54" s="230">
        <f t="shared" si="6"/>
        <v>0</v>
      </c>
      <c r="C54" s="230">
        <f t="shared" si="7"/>
        <v>0</v>
      </c>
      <c r="D54" s="230">
        <f t="shared" si="8"/>
        <v>0</v>
      </c>
      <c r="E54" s="230">
        <f t="shared" si="9"/>
        <v>0</v>
      </c>
      <c r="F54" s="230">
        <f t="shared" si="10"/>
        <v>0</v>
      </c>
      <c r="G54" s="230">
        <f t="shared" si="11"/>
        <v>0</v>
      </c>
      <c r="H54" s="230">
        <f t="shared" si="12"/>
        <v>0</v>
      </c>
    </row>
    <row r="55" spans="1:8" hidden="1">
      <c r="A55" s="223" t="str">
        <f t="shared" si="5"/>
        <v>Okra</v>
      </c>
      <c r="B55" s="230">
        <f t="shared" si="6"/>
        <v>0</v>
      </c>
      <c r="C55" s="230">
        <f t="shared" si="7"/>
        <v>0</v>
      </c>
      <c r="D55" s="230">
        <f t="shared" si="8"/>
        <v>0</v>
      </c>
      <c r="E55" s="230">
        <f t="shared" si="9"/>
        <v>0</v>
      </c>
      <c r="F55" s="230">
        <f t="shared" si="10"/>
        <v>0</v>
      </c>
      <c r="G55" s="230">
        <f t="shared" si="11"/>
        <v>0</v>
      </c>
      <c r="H55" s="230">
        <f t="shared" si="12"/>
        <v>0</v>
      </c>
    </row>
    <row r="56" spans="1:8" hidden="1">
      <c r="A56" s="223" t="str">
        <f t="shared" si="5"/>
        <v>Chilli</v>
      </c>
      <c r="B56" s="230">
        <f t="shared" si="6"/>
        <v>0</v>
      </c>
      <c r="C56" s="230">
        <f t="shared" si="7"/>
        <v>0</v>
      </c>
      <c r="D56" s="230">
        <f t="shared" si="8"/>
        <v>0</v>
      </c>
      <c r="E56" s="230">
        <f t="shared" si="9"/>
        <v>0</v>
      </c>
      <c r="F56" s="230">
        <f t="shared" si="10"/>
        <v>0</v>
      </c>
      <c r="G56" s="230">
        <f t="shared" si="11"/>
        <v>0</v>
      </c>
      <c r="H56" s="230">
        <f t="shared" si="12"/>
        <v>0</v>
      </c>
    </row>
    <row r="57" spans="1:8" hidden="1">
      <c r="A57" s="223" t="str">
        <f t="shared" si="5"/>
        <v>Brinjal</v>
      </c>
      <c r="B57" s="230">
        <f t="shared" si="6"/>
        <v>0</v>
      </c>
      <c r="C57" s="230">
        <f t="shared" si="7"/>
        <v>0</v>
      </c>
      <c r="D57" s="230">
        <f t="shared" si="8"/>
        <v>0</v>
      </c>
      <c r="E57" s="230">
        <f t="shared" si="9"/>
        <v>0</v>
      </c>
      <c r="F57" s="230">
        <f t="shared" si="10"/>
        <v>0</v>
      </c>
      <c r="G57" s="230">
        <f t="shared" si="11"/>
        <v>0</v>
      </c>
      <c r="H57" s="230">
        <f t="shared" si="12"/>
        <v>0</v>
      </c>
    </row>
    <row r="58" spans="1:8" hidden="1">
      <c r="A58" s="223" t="str">
        <f t="shared" si="5"/>
        <v>Cashew</v>
      </c>
      <c r="B58" s="230">
        <f t="shared" si="6"/>
        <v>0</v>
      </c>
      <c r="C58" s="230">
        <f t="shared" si="7"/>
        <v>0</v>
      </c>
      <c r="D58" s="230">
        <f t="shared" si="8"/>
        <v>0</v>
      </c>
      <c r="E58" s="230">
        <f t="shared" si="9"/>
        <v>0</v>
      </c>
      <c r="F58" s="230">
        <f t="shared" si="10"/>
        <v>0</v>
      </c>
      <c r="G58" s="230">
        <f t="shared" si="11"/>
        <v>0</v>
      </c>
      <c r="H58" s="230">
        <f t="shared" si="12"/>
        <v>0</v>
      </c>
    </row>
    <row r="59" spans="1:8" hidden="1">
      <c r="A59" s="223">
        <f t="shared" si="5"/>
        <v>0</v>
      </c>
      <c r="B59" s="230">
        <f t="shared" si="6"/>
        <v>0</v>
      </c>
      <c r="C59" s="230">
        <f t="shared" si="7"/>
        <v>0</v>
      </c>
      <c r="D59" s="230">
        <f t="shared" si="8"/>
        <v>0</v>
      </c>
      <c r="E59" s="230">
        <f t="shared" si="9"/>
        <v>0</v>
      </c>
      <c r="F59" s="230">
        <f t="shared" si="10"/>
        <v>0</v>
      </c>
      <c r="G59" s="230">
        <f t="shared" si="11"/>
        <v>0</v>
      </c>
      <c r="H59" s="230">
        <f t="shared" si="12"/>
        <v>0</v>
      </c>
    </row>
    <row r="60" spans="1:8" hidden="1">
      <c r="A60" s="223">
        <f t="shared" si="5"/>
        <v>0</v>
      </c>
      <c r="B60" s="230">
        <f t="shared" si="6"/>
        <v>0</v>
      </c>
      <c r="C60" s="230">
        <f t="shared" si="7"/>
        <v>0</v>
      </c>
      <c r="D60" s="230">
        <f t="shared" si="8"/>
        <v>0</v>
      </c>
      <c r="E60" s="230">
        <f t="shared" si="9"/>
        <v>0</v>
      </c>
      <c r="F60" s="230">
        <f t="shared" si="10"/>
        <v>0</v>
      </c>
      <c r="G60" s="230">
        <f t="shared" si="11"/>
        <v>0</v>
      </c>
      <c r="H60" s="230">
        <f t="shared" si="12"/>
        <v>0</v>
      </c>
    </row>
    <row r="61" spans="1:8" hidden="1">
      <c r="A61" s="223">
        <f t="shared" si="5"/>
        <v>0</v>
      </c>
      <c r="B61" s="230">
        <f t="shared" si="6"/>
        <v>0</v>
      </c>
      <c r="C61" s="230">
        <f t="shared" si="7"/>
        <v>0</v>
      </c>
      <c r="D61" s="230">
        <f t="shared" si="8"/>
        <v>0</v>
      </c>
      <c r="E61" s="230">
        <f t="shared" si="9"/>
        <v>0</v>
      </c>
      <c r="F61" s="230">
        <f t="shared" si="10"/>
        <v>0</v>
      </c>
      <c r="G61" s="230">
        <f t="shared" si="11"/>
        <v>0</v>
      </c>
      <c r="H61" s="230">
        <f t="shared" si="12"/>
        <v>0</v>
      </c>
    </row>
    <row r="62" spans="1:8">
      <c r="A62" s="223" t="str">
        <f t="shared" ref="A62:A65" si="13">A34</f>
        <v>Cashew</v>
      </c>
      <c r="B62" s="230">
        <f>B34*$B$41</f>
        <v>3003.7392</v>
      </c>
      <c r="C62" s="230">
        <f t="shared" ref="C62:H62" si="14">C34*$B$41</f>
        <v>3254.0508000000004</v>
      </c>
      <c r="D62" s="230">
        <f t="shared" si="14"/>
        <v>3504.3624000000009</v>
      </c>
      <c r="E62" s="230">
        <f t="shared" si="14"/>
        <v>3754.6740000000009</v>
      </c>
      <c r="F62" s="230">
        <f t="shared" si="14"/>
        <v>4004.9856000000009</v>
      </c>
      <c r="G62" s="230">
        <f t="shared" si="14"/>
        <v>4255.2972000000009</v>
      </c>
      <c r="H62" s="230">
        <f t="shared" si="14"/>
        <v>4505.6088000000018</v>
      </c>
    </row>
    <row r="63" spans="1:8" hidden="1">
      <c r="A63" s="223" t="str">
        <f t="shared" si="13"/>
        <v>Custard Apple</v>
      </c>
      <c r="B63" s="230">
        <f t="shared" ref="B63:H63" si="15">B35*$B$41</f>
        <v>0</v>
      </c>
      <c r="C63" s="230">
        <f t="shared" si="15"/>
        <v>0</v>
      </c>
      <c r="D63" s="230">
        <f t="shared" si="15"/>
        <v>0</v>
      </c>
      <c r="E63" s="230">
        <f t="shared" si="15"/>
        <v>0</v>
      </c>
      <c r="F63" s="230">
        <f t="shared" si="15"/>
        <v>0</v>
      </c>
      <c r="G63" s="230">
        <f t="shared" si="15"/>
        <v>0</v>
      </c>
      <c r="H63" s="230">
        <f t="shared" si="15"/>
        <v>0</v>
      </c>
    </row>
    <row r="64" spans="1:8" hidden="1">
      <c r="A64" s="223" t="str">
        <f t="shared" si="13"/>
        <v>Guava</v>
      </c>
      <c r="B64" s="230">
        <f t="shared" ref="B64:H65" si="16">B36*$B$41</f>
        <v>0</v>
      </c>
      <c r="C64" s="230">
        <f t="shared" si="16"/>
        <v>0</v>
      </c>
      <c r="D64" s="230">
        <f t="shared" si="16"/>
        <v>0</v>
      </c>
      <c r="E64" s="230">
        <f t="shared" si="16"/>
        <v>0</v>
      </c>
      <c r="F64" s="230">
        <f t="shared" si="16"/>
        <v>0</v>
      </c>
      <c r="G64" s="230">
        <f t="shared" si="16"/>
        <v>0</v>
      </c>
      <c r="H64" s="230">
        <f t="shared" si="16"/>
        <v>0</v>
      </c>
    </row>
    <row r="65" spans="1:8" hidden="1">
      <c r="A65" s="223" t="str">
        <f t="shared" si="13"/>
        <v>Citrus</v>
      </c>
      <c r="B65" s="230">
        <f t="shared" si="16"/>
        <v>0</v>
      </c>
      <c r="C65" s="230">
        <f t="shared" si="16"/>
        <v>0</v>
      </c>
      <c r="D65" s="230">
        <f t="shared" si="16"/>
        <v>0</v>
      </c>
      <c r="E65" s="230">
        <f t="shared" si="16"/>
        <v>0</v>
      </c>
      <c r="F65" s="230">
        <f t="shared" si="16"/>
        <v>0</v>
      </c>
      <c r="G65" s="230">
        <f t="shared" si="16"/>
        <v>0</v>
      </c>
      <c r="H65" s="230">
        <f t="shared" si="16"/>
        <v>0</v>
      </c>
    </row>
    <row r="66" spans="1:8" hidden="1">
      <c r="A66" s="234" t="s">
        <v>596</v>
      </c>
      <c r="B66" s="222"/>
      <c r="C66" s="222"/>
      <c r="D66" s="222"/>
      <c r="E66" s="222"/>
      <c r="F66" s="222"/>
      <c r="G66" s="222"/>
      <c r="H66" s="222"/>
    </row>
    <row r="67" spans="1:8" hidden="1">
      <c r="A67" s="223" t="str">
        <f>A44</f>
        <v>Onion</v>
      </c>
      <c r="B67" s="222"/>
      <c r="C67" s="222"/>
      <c r="D67" s="222"/>
      <c r="E67" s="222"/>
      <c r="F67" s="222"/>
      <c r="G67" s="222"/>
      <c r="H67" s="222"/>
    </row>
    <row r="68" spans="1:8" hidden="1">
      <c r="A68" s="223"/>
      <c r="B68" s="222"/>
      <c r="C68" s="222"/>
      <c r="D68" s="222"/>
      <c r="E68" s="222"/>
      <c r="F68" s="222"/>
      <c r="G68" s="222"/>
      <c r="H68" s="222"/>
    </row>
    <row r="69" spans="1:8" hidden="1">
      <c r="A69" s="223"/>
      <c r="B69" s="222"/>
      <c r="C69" s="222"/>
      <c r="D69" s="222"/>
      <c r="E69" s="222"/>
      <c r="F69" s="222"/>
      <c r="G69" s="222"/>
      <c r="H69" s="222"/>
    </row>
    <row r="70" spans="1:8" hidden="1">
      <c r="A70" s="223"/>
      <c r="B70" s="222"/>
      <c r="C70" s="222"/>
      <c r="D70" s="222"/>
      <c r="E70" s="222"/>
      <c r="F70" s="222"/>
      <c r="G70" s="222"/>
      <c r="H70" s="222"/>
    </row>
    <row r="71" spans="1:8" hidden="1">
      <c r="A71" s="223" t="str">
        <f>A45</f>
        <v>Tomato</v>
      </c>
      <c r="B71" s="230"/>
      <c r="C71" s="230"/>
      <c r="D71" s="230"/>
      <c r="E71" s="230"/>
      <c r="F71" s="230"/>
      <c r="G71" s="230"/>
      <c r="H71" s="230"/>
    </row>
    <row r="72" spans="1:8" hidden="1">
      <c r="A72" s="223"/>
      <c r="B72" s="230"/>
      <c r="C72" s="230"/>
      <c r="D72" s="230"/>
      <c r="E72" s="230"/>
      <c r="F72" s="230"/>
      <c r="G72" s="230"/>
      <c r="H72" s="230"/>
    </row>
    <row r="73" spans="1:8" hidden="1">
      <c r="A73" s="223"/>
      <c r="B73" s="230"/>
      <c r="C73" s="230"/>
      <c r="D73" s="230"/>
      <c r="E73" s="230"/>
      <c r="F73" s="230"/>
      <c r="G73" s="230"/>
      <c r="H73" s="230"/>
    </row>
    <row r="74" spans="1:8" hidden="1">
      <c r="A74" s="223"/>
      <c r="B74" s="230"/>
      <c r="C74" s="230"/>
      <c r="D74" s="230"/>
      <c r="E74" s="230"/>
      <c r="F74" s="230"/>
      <c r="G74" s="230"/>
      <c r="H74" s="230"/>
    </row>
    <row r="75" spans="1:8" hidden="1">
      <c r="A75" s="223" t="str">
        <f>A46</f>
        <v>Okra</v>
      </c>
      <c r="B75" s="230"/>
      <c r="C75" s="230"/>
      <c r="D75" s="230"/>
      <c r="E75" s="230"/>
      <c r="F75" s="230"/>
      <c r="G75" s="230"/>
      <c r="H75" s="230"/>
    </row>
    <row r="76" spans="1:8" hidden="1">
      <c r="A76" s="223"/>
      <c r="B76" s="230"/>
      <c r="C76" s="230"/>
      <c r="D76" s="230"/>
      <c r="E76" s="230"/>
      <c r="F76" s="230"/>
      <c r="G76" s="230"/>
      <c r="H76" s="230"/>
    </row>
    <row r="77" spans="1:8" hidden="1">
      <c r="A77" s="223"/>
      <c r="B77" s="230"/>
      <c r="C77" s="230"/>
      <c r="D77" s="230"/>
      <c r="E77" s="230"/>
      <c r="F77" s="230"/>
      <c r="G77" s="230"/>
      <c r="H77" s="230"/>
    </row>
    <row r="78" spans="1:8" hidden="1">
      <c r="A78" s="223"/>
      <c r="B78" s="230"/>
      <c r="C78" s="230"/>
      <c r="D78" s="230"/>
      <c r="E78" s="230"/>
      <c r="F78" s="230"/>
      <c r="G78" s="230"/>
      <c r="H78" s="230"/>
    </row>
    <row r="79" spans="1:8" hidden="1">
      <c r="A79" s="223" t="str">
        <f>A47</f>
        <v>Chilli</v>
      </c>
      <c r="B79" s="230"/>
      <c r="C79" s="230"/>
      <c r="D79" s="230"/>
      <c r="E79" s="230"/>
      <c r="F79" s="230"/>
      <c r="G79" s="230"/>
      <c r="H79" s="230"/>
    </row>
    <row r="80" spans="1:8" hidden="1">
      <c r="A80" s="223"/>
      <c r="B80" s="230"/>
      <c r="C80" s="230"/>
      <c r="D80" s="230"/>
      <c r="E80" s="230"/>
      <c r="F80" s="230"/>
      <c r="G80" s="230"/>
      <c r="H80" s="230"/>
    </row>
    <row r="81" spans="1:8" hidden="1">
      <c r="A81" s="223"/>
      <c r="B81" s="230"/>
      <c r="C81" s="230"/>
      <c r="D81" s="230"/>
      <c r="E81" s="230"/>
      <c r="F81" s="230"/>
      <c r="G81" s="230"/>
      <c r="H81" s="230"/>
    </row>
    <row r="82" spans="1:8" hidden="1">
      <c r="A82" s="223"/>
      <c r="B82" s="230"/>
      <c r="C82" s="230"/>
      <c r="D82" s="230"/>
      <c r="E82" s="230"/>
      <c r="F82" s="230"/>
      <c r="G82" s="230"/>
      <c r="H82" s="230"/>
    </row>
    <row r="83" spans="1:8" hidden="1">
      <c r="A83" s="223" t="str">
        <f>A48</f>
        <v>Potato</v>
      </c>
      <c r="B83" s="230"/>
      <c r="C83" s="230"/>
      <c r="D83" s="230"/>
      <c r="E83" s="230"/>
      <c r="F83" s="230"/>
      <c r="G83" s="230"/>
      <c r="H83" s="230"/>
    </row>
    <row r="84" spans="1:8" hidden="1">
      <c r="A84" s="223"/>
      <c r="B84" s="230"/>
      <c r="C84" s="230"/>
      <c r="D84" s="230"/>
      <c r="E84" s="230"/>
      <c r="F84" s="230"/>
      <c r="G84" s="230"/>
      <c r="H84" s="230"/>
    </row>
    <row r="85" spans="1:8" hidden="1">
      <c r="A85" s="223"/>
      <c r="B85" s="230"/>
      <c r="C85" s="230"/>
      <c r="D85" s="230"/>
      <c r="E85" s="230"/>
      <c r="F85" s="230"/>
      <c r="G85" s="230"/>
      <c r="H85" s="230"/>
    </row>
    <row r="86" spans="1:8" hidden="1">
      <c r="A86" s="223"/>
      <c r="B86" s="230"/>
      <c r="C86" s="230"/>
      <c r="D86" s="230"/>
      <c r="E86" s="230"/>
      <c r="F86" s="230"/>
      <c r="G86" s="230"/>
      <c r="H86" s="230"/>
    </row>
    <row r="87" spans="1:8" hidden="1">
      <c r="A87" s="223">
        <f>A49</f>
        <v>0</v>
      </c>
      <c r="B87" s="230"/>
      <c r="C87" s="230"/>
      <c r="D87" s="230"/>
      <c r="E87" s="230"/>
      <c r="F87" s="230"/>
      <c r="G87" s="230"/>
      <c r="H87" s="230"/>
    </row>
    <row r="88" spans="1:8" hidden="1">
      <c r="A88" s="223"/>
      <c r="B88" s="230"/>
      <c r="C88" s="230"/>
      <c r="D88" s="230"/>
      <c r="E88" s="230"/>
      <c r="F88" s="230"/>
      <c r="G88" s="230"/>
      <c r="H88" s="230"/>
    </row>
    <row r="89" spans="1:8" hidden="1">
      <c r="A89" s="223"/>
      <c r="B89" s="230"/>
      <c r="C89" s="230"/>
      <c r="D89" s="230"/>
      <c r="E89" s="230"/>
      <c r="F89" s="230"/>
      <c r="G89" s="230"/>
      <c r="H89" s="230"/>
    </row>
    <row r="90" spans="1:8" hidden="1">
      <c r="A90" s="223"/>
      <c r="B90" s="230"/>
      <c r="C90" s="230"/>
      <c r="D90" s="230"/>
      <c r="E90" s="230"/>
      <c r="F90" s="230"/>
      <c r="G90" s="230"/>
      <c r="H90" s="230"/>
    </row>
    <row r="91" spans="1:8" hidden="1">
      <c r="A91" s="223">
        <f>A50</f>
        <v>0</v>
      </c>
      <c r="B91" s="230"/>
      <c r="C91" s="230"/>
      <c r="D91" s="230"/>
      <c r="E91" s="230"/>
      <c r="F91" s="230"/>
      <c r="G91" s="230"/>
      <c r="H91" s="230"/>
    </row>
    <row r="92" spans="1:8" hidden="1">
      <c r="A92" s="223"/>
      <c r="B92" s="230"/>
      <c r="C92" s="230"/>
      <c r="D92" s="230"/>
      <c r="E92" s="230"/>
      <c r="F92" s="230"/>
      <c r="G92" s="230"/>
      <c r="H92" s="230"/>
    </row>
    <row r="93" spans="1:8" hidden="1">
      <c r="A93" s="223"/>
      <c r="B93" s="230"/>
      <c r="C93" s="230"/>
      <c r="D93" s="230"/>
      <c r="E93" s="230"/>
      <c r="F93" s="230"/>
      <c r="G93" s="230"/>
      <c r="H93" s="230"/>
    </row>
    <row r="94" spans="1:8" hidden="1">
      <c r="A94" s="223">
        <f>A51</f>
        <v>0</v>
      </c>
      <c r="B94" s="230"/>
      <c r="C94" s="230"/>
      <c r="D94" s="230"/>
      <c r="E94" s="230"/>
      <c r="F94" s="230"/>
      <c r="G94" s="230"/>
      <c r="H94" s="230"/>
    </row>
    <row r="95" spans="1:8" hidden="1">
      <c r="A95" s="223"/>
      <c r="B95" s="230"/>
      <c r="C95" s="230"/>
      <c r="D95" s="230"/>
      <c r="E95" s="230"/>
      <c r="F95" s="230"/>
      <c r="G95" s="230"/>
      <c r="H95" s="230"/>
    </row>
    <row r="96" spans="1:8" hidden="1">
      <c r="A96" s="223"/>
      <c r="B96" s="230"/>
      <c r="C96" s="230"/>
      <c r="D96" s="230"/>
      <c r="E96" s="230"/>
      <c r="F96" s="230"/>
      <c r="G96" s="230"/>
      <c r="H96" s="230"/>
    </row>
    <row r="97" spans="1:8" hidden="1">
      <c r="A97" s="223"/>
      <c r="B97" s="230"/>
      <c r="C97" s="230"/>
      <c r="D97" s="230"/>
      <c r="E97" s="230"/>
      <c r="F97" s="230"/>
      <c r="G97" s="230"/>
      <c r="H97" s="230"/>
    </row>
    <row r="98" spans="1:8" hidden="1">
      <c r="A98" s="223">
        <f>A52</f>
        <v>0</v>
      </c>
      <c r="B98" s="230"/>
      <c r="C98" s="230"/>
      <c r="D98" s="230"/>
      <c r="E98" s="230"/>
      <c r="F98" s="230"/>
      <c r="G98" s="230"/>
      <c r="H98" s="230"/>
    </row>
    <row r="99" spans="1:8" hidden="1">
      <c r="A99" s="223"/>
      <c r="B99" s="230"/>
      <c r="C99" s="230"/>
      <c r="D99" s="230"/>
      <c r="E99" s="230"/>
      <c r="F99" s="230"/>
      <c r="G99" s="230"/>
      <c r="H99" s="230"/>
    </row>
    <row r="100" spans="1:8" hidden="1">
      <c r="A100" s="223"/>
      <c r="B100" s="230"/>
      <c r="C100" s="230"/>
      <c r="D100" s="230"/>
      <c r="E100" s="230"/>
      <c r="F100" s="230"/>
      <c r="G100" s="230"/>
      <c r="H100" s="230"/>
    </row>
    <row r="101" spans="1:8" hidden="1">
      <c r="A101" s="223"/>
      <c r="B101" s="230"/>
      <c r="C101" s="230"/>
      <c r="D101" s="230"/>
      <c r="E101" s="230"/>
      <c r="F101" s="230"/>
      <c r="G101" s="230"/>
      <c r="H101" s="230"/>
    </row>
    <row r="102" spans="1:8" hidden="1">
      <c r="A102" s="223" t="str">
        <f>A53</f>
        <v>Onion</v>
      </c>
      <c r="B102" s="230"/>
      <c r="C102" s="230"/>
      <c r="D102" s="230"/>
      <c r="E102" s="230"/>
      <c r="F102" s="230"/>
      <c r="G102" s="230"/>
      <c r="H102" s="230"/>
    </row>
    <row r="103" spans="1:8" hidden="1">
      <c r="A103" s="223"/>
      <c r="B103" s="230"/>
      <c r="C103" s="230"/>
      <c r="D103" s="230"/>
      <c r="E103" s="230"/>
      <c r="F103" s="230"/>
      <c r="G103" s="230"/>
      <c r="H103" s="230"/>
    </row>
    <row r="104" spans="1:8" hidden="1">
      <c r="A104" s="223"/>
      <c r="B104" s="230"/>
      <c r="C104" s="230"/>
      <c r="D104" s="230"/>
      <c r="E104" s="230"/>
      <c r="F104" s="230"/>
      <c r="G104" s="230"/>
      <c r="H104" s="230"/>
    </row>
    <row r="105" spans="1:8" hidden="1">
      <c r="A105" s="223"/>
      <c r="B105" s="230"/>
      <c r="C105" s="230"/>
      <c r="D105" s="230"/>
      <c r="E105" s="230"/>
      <c r="F105" s="230"/>
      <c r="G105" s="230"/>
      <c r="H105" s="230"/>
    </row>
    <row r="106" spans="1:8" hidden="1">
      <c r="A106" s="223" t="str">
        <f>A54</f>
        <v>Tomato</v>
      </c>
      <c r="B106" s="230"/>
      <c r="C106" s="230"/>
      <c r="D106" s="230"/>
      <c r="E106" s="230"/>
      <c r="F106" s="230"/>
      <c r="G106" s="230"/>
      <c r="H106" s="230"/>
    </row>
    <row r="107" spans="1:8" hidden="1">
      <c r="A107" s="223"/>
      <c r="B107" s="230"/>
      <c r="C107" s="230"/>
      <c r="D107" s="230"/>
      <c r="E107" s="230"/>
      <c r="F107" s="230"/>
      <c r="G107" s="230"/>
      <c r="H107" s="230"/>
    </row>
    <row r="108" spans="1:8" hidden="1">
      <c r="A108" s="223"/>
      <c r="B108" s="230"/>
      <c r="C108" s="230"/>
      <c r="D108" s="230"/>
      <c r="E108" s="230"/>
      <c r="F108" s="230"/>
      <c r="G108" s="230"/>
      <c r="H108" s="230"/>
    </row>
    <row r="109" spans="1:8" hidden="1">
      <c r="A109" s="223"/>
      <c r="B109" s="230"/>
      <c r="C109" s="230"/>
      <c r="D109" s="230"/>
      <c r="E109" s="230"/>
      <c r="F109" s="230"/>
      <c r="G109" s="230"/>
      <c r="H109" s="230"/>
    </row>
    <row r="110" spans="1:8" hidden="1">
      <c r="A110" s="223" t="str">
        <f>A55</f>
        <v>Okra</v>
      </c>
      <c r="B110" s="230"/>
      <c r="C110" s="230"/>
      <c r="D110" s="230"/>
      <c r="E110" s="230"/>
      <c r="F110" s="230"/>
      <c r="G110" s="230"/>
      <c r="H110" s="230"/>
    </row>
    <row r="111" spans="1:8" hidden="1">
      <c r="A111" s="223"/>
      <c r="B111" s="230"/>
      <c r="C111" s="230"/>
      <c r="D111" s="230"/>
      <c r="E111" s="230"/>
      <c r="F111" s="230"/>
      <c r="G111" s="230"/>
      <c r="H111" s="230"/>
    </row>
    <row r="112" spans="1:8" hidden="1">
      <c r="A112" s="223"/>
      <c r="B112" s="230"/>
      <c r="C112" s="230"/>
      <c r="D112" s="230"/>
      <c r="E112" s="230"/>
      <c r="F112" s="230"/>
      <c r="G112" s="230"/>
      <c r="H112" s="230"/>
    </row>
    <row r="113" spans="1:8" hidden="1">
      <c r="A113" s="223"/>
      <c r="B113" s="230"/>
      <c r="C113" s="230"/>
      <c r="D113" s="230"/>
      <c r="E113" s="230"/>
      <c r="F113" s="230"/>
      <c r="G113" s="230"/>
      <c r="H113" s="230"/>
    </row>
    <row r="114" spans="1:8" hidden="1">
      <c r="A114" s="223" t="str">
        <f>A56</f>
        <v>Chilli</v>
      </c>
      <c r="B114" s="230"/>
      <c r="C114" s="230"/>
      <c r="D114" s="230"/>
      <c r="E114" s="230"/>
      <c r="F114" s="230"/>
      <c r="G114" s="230"/>
      <c r="H114" s="230"/>
    </row>
    <row r="115" spans="1:8" hidden="1">
      <c r="A115" s="223"/>
      <c r="B115" s="230"/>
      <c r="C115" s="230"/>
      <c r="D115" s="230"/>
      <c r="E115" s="230"/>
      <c r="F115" s="230"/>
      <c r="G115" s="230"/>
      <c r="H115" s="230"/>
    </row>
    <row r="116" spans="1:8" hidden="1">
      <c r="A116" s="223"/>
      <c r="B116" s="230"/>
      <c r="C116" s="230"/>
      <c r="D116" s="230"/>
      <c r="E116" s="230"/>
      <c r="F116" s="230"/>
      <c r="G116" s="230"/>
      <c r="H116" s="230"/>
    </row>
    <row r="117" spans="1:8" hidden="1">
      <c r="A117" s="223"/>
      <c r="B117" s="230"/>
      <c r="C117" s="230"/>
      <c r="D117" s="230"/>
      <c r="E117" s="230"/>
      <c r="F117" s="230"/>
      <c r="G117" s="230"/>
      <c r="H117" s="230"/>
    </row>
    <row r="118" spans="1:8" hidden="1">
      <c r="A118" s="234" t="str">
        <f t="shared" ref="A118:A123" si="17">A57</f>
        <v>Brinjal</v>
      </c>
      <c r="B118" s="230"/>
      <c r="C118" s="230"/>
      <c r="D118" s="230"/>
      <c r="E118" s="230"/>
      <c r="F118" s="230"/>
      <c r="G118" s="230"/>
      <c r="H118" s="230"/>
    </row>
    <row r="119" spans="1:8" hidden="1">
      <c r="A119" s="223" t="str">
        <f t="shared" si="17"/>
        <v>Cashew</v>
      </c>
      <c r="B119" s="230"/>
      <c r="C119" s="230"/>
      <c r="D119" s="230"/>
      <c r="E119" s="230"/>
      <c r="F119" s="230"/>
      <c r="G119" s="230"/>
      <c r="H119" s="230"/>
    </row>
    <row r="120" spans="1:8" hidden="1">
      <c r="A120" s="223">
        <f t="shared" si="17"/>
        <v>0</v>
      </c>
      <c r="B120" s="230"/>
      <c r="C120" s="230"/>
      <c r="D120" s="230"/>
      <c r="E120" s="230"/>
      <c r="F120" s="230"/>
      <c r="G120" s="230"/>
      <c r="H120" s="230"/>
    </row>
    <row r="121" spans="1:8" hidden="1">
      <c r="A121" s="223">
        <f t="shared" si="17"/>
        <v>0</v>
      </c>
      <c r="B121" s="230"/>
      <c r="C121" s="230"/>
      <c r="D121" s="230"/>
      <c r="E121" s="230"/>
      <c r="F121" s="230"/>
      <c r="G121" s="230"/>
      <c r="H121" s="230"/>
    </row>
    <row r="122" spans="1:8">
      <c r="A122" s="223"/>
      <c r="B122" s="230"/>
      <c r="C122" s="230"/>
      <c r="D122" s="230"/>
      <c r="E122" s="230"/>
      <c r="F122" s="230"/>
      <c r="G122" s="230"/>
      <c r="H122" s="230"/>
    </row>
    <row r="123" spans="1:8">
      <c r="A123" s="234" t="str">
        <f t="shared" si="17"/>
        <v>Cashew</v>
      </c>
      <c r="B123" s="230"/>
      <c r="C123" s="230"/>
      <c r="D123" s="230"/>
      <c r="E123" s="230"/>
      <c r="F123" s="230"/>
      <c r="G123" s="230"/>
      <c r="H123" s="230"/>
    </row>
    <row r="124" spans="1:8">
      <c r="A124" s="223" t="s">
        <v>685</v>
      </c>
      <c r="B124" s="230">
        <f t="shared" ref="B124:H124" si="18">(B$62*26%)</f>
        <v>780.97219200000006</v>
      </c>
      <c r="C124" s="230">
        <f t="shared" si="18"/>
        <v>846.05320800000015</v>
      </c>
      <c r="D124" s="230">
        <f t="shared" si="18"/>
        <v>911.13422400000024</v>
      </c>
      <c r="E124" s="230">
        <f t="shared" si="18"/>
        <v>976.21524000000022</v>
      </c>
      <c r="F124" s="230">
        <f t="shared" si="18"/>
        <v>1041.2962560000003</v>
      </c>
      <c r="G124" s="230">
        <f t="shared" si="18"/>
        <v>1106.3772720000002</v>
      </c>
      <c r="H124" s="230">
        <f t="shared" si="18"/>
        <v>1171.4582880000005</v>
      </c>
    </row>
    <row r="125" spans="1:8">
      <c r="A125" s="223" t="s">
        <v>686</v>
      </c>
      <c r="B125" s="230">
        <f t="shared" ref="B125:H125" si="19">(B$62*61%)</f>
        <v>1832.2809119999999</v>
      </c>
      <c r="C125" s="230">
        <f t="shared" si="19"/>
        <v>1984.9709880000003</v>
      </c>
      <c r="D125" s="230">
        <f t="shared" si="19"/>
        <v>2137.6610640000004</v>
      </c>
      <c r="E125" s="230">
        <f t="shared" si="19"/>
        <v>2290.3511400000007</v>
      </c>
      <c r="F125" s="230">
        <f t="shared" si="19"/>
        <v>2443.0412160000005</v>
      </c>
      <c r="G125" s="230">
        <f t="shared" si="19"/>
        <v>2595.7312920000004</v>
      </c>
      <c r="H125" s="230">
        <f t="shared" si="19"/>
        <v>2748.4213680000012</v>
      </c>
    </row>
    <row r="126" spans="1:8">
      <c r="A126" s="223" t="s">
        <v>687</v>
      </c>
      <c r="B126" s="230">
        <f t="shared" ref="B126:H126" si="20">(B$62*13%)</f>
        <v>390.48609600000003</v>
      </c>
      <c r="C126" s="230">
        <f t="shared" si="20"/>
        <v>423.02660400000008</v>
      </c>
      <c r="D126" s="230">
        <f t="shared" si="20"/>
        <v>455.56711200000012</v>
      </c>
      <c r="E126" s="230">
        <f t="shared" si="20"/>
        <v>488.10762000000011</v>
      </c>
      <c r="F126" s="230">
        <f t="shared" si="20"/>
        <v>520.64812800000016</v>
      </c>
      <c r="G126" s="230">
        <f t="shared" si="20"/>
        <v>553.18863600000009</v>
      </c>
      <c r="H126" s="230">
        <f t="shared" si="20"/>
        <v>585.72914400000025</v>
      </c>
    </row>
    <row r="127" spans="1:8" hidden="1">
      <c r="A127" s="223"/>
      <c r="B127" s="230"/>
      <c r="C127" s="230"/>
      <c r="D127" s="230"/>
      <c r="E127" s="230"/>
      <c r="F127" s="230"/>
      <c r="G127" s="230"/>
      <c r="H127" s="230"/>
    </row>
    <row r="128" spans="1:8" hidden="1">
      <c r="A128" s="223"/>
      <c r="B128" s="230"/>
      <c r="C128" s="230"/>
      <c r="D128" s="230"/>
      <c r="E128" s="230"/>
      <c r="F128" s="230"/>
      <c r="G128" s="230"/>
      <c r="H128" s="230"/>
    </row>
    <row r="129" spans="1:8" hidden="1">
      <c r="A129" s="223"/>
      <c r="B129" s="230"/>
      <c r="C129" s="230"/>
      <c r="D129" s="230"/>
      <c r="E129" s="230"/>
      <c r="F129" s="230"/>
      <c r="G129" s="230"/>
      <c r="H129" s="230"/>
    </row>
    <row r="130" spans="1:8" hidden="1">
      <c r="A130" s="223"/>
      <c r="B130" s="230"/>
      <c r="C130" s="230"/>
      <c r="D130" s="230"/>
      <c r="E130" s="230"/>
      <c r="F130" s="230"/>
      <c r="G130" s="230"/>
      <c r="H130" s="230"/>
    </row>
    <row r="131" spans="1:8" hidden="1">
      <c r="A131" s="223" t="str">
        <f>A64</f>
        <v>Guava</v>
      </c>
      <c r="B131" s="230"/>
      <c r="C131" s="230"/>
      <c r="D131" s="230"/>
      <c r="E131" s="230"/>
      <c r="F131" s="230"/>
      <c r="G131" s="230"/>
      <c r="H131" s="230"/>
    </row>
    <row r="132" spans="1:8" hidden="1">
      <c r="A132" s="223"/>
      <c r="B132" s="230"/>
      <c r="C132" s="230"/>
      <c r="D132" s="230"/>
      <c r="E132" s="230"/>
      <c r="F132" s="230"/>
      <c r="G132" s="230"/>
      <c r="H132" s="230"/>
    </row>
    <row r="133" spans="1:8" hidden="1">
      <c r="A133" s="223"/>
      <c r="B133" s="230"/>
      <c r="C133" s="230"/>
      <c r="D133" s="230"/>
      <c r="E133" s="230"/>
      <c r="F133" s="230"/>
      <c r="G133" s="230"/>
      <c r="H133" s="230"/>
    </row>
    <row r="134" spans="1:8" hidden="1">
      <c r="A134" s="223"/>
      <c r="B134" s="230"/>
      <c r="C134" s="230"/>
      <c r="D134" s="230"/>
      <c r="E134" s="230"/>
      <c r="F134" s="230"/>
      <c r="G134" s="230"/>
      <c r="H134" s="230"/>
    </row>
    <row r="135" spans="1:8" hidden="1">
      <c r="A135" s="223" t="str">
        <f>A65</f>
        <v>Citrus</v>
      </c>
      <c r="B135" s="230"/>
      <c r="C135" s="230"/>
      <c r="D135" s="230"/>
      <c r="E135" s="230"/>
      <c r="F135" s="230"/>
      <c r="G135" s="230"/>
      <c r="H135" s="230"/>
    </row>
    <row r="136" spans="1:8" hidden="1">
      <c r="A136" s="223"/>
      <c r="B136" s="230"/>
      <c r="C136" s="230"/>
      <c r="D136" s="230"/>
      <c r="E136" s="230"/>
      <c r="F136" s="230"/>
      <c r="G136" s="230"/>
      <c r="H136" s="230"/>
    </row>
    <row r="137" spans="1:8" hidden="1">
      <c r="A137" s="223"/>
      <c r="B137" s="230"/>
      <c r="C137" s="230"/>
      <c r="D137" s="230"/>
      <c r="E137" s="230"/>
      <c r="F137" s="230"/>
      <c r="G137" s="230"/>
      <c r="H137" s="230"/>
    </row>
    <row r="138" spans="1:8">
      <c r="A138" s="223"/>
      <c r="B138" s="230"/>
      <c r="C138" s="230"/>
      <c r="D138" s="230"/>
      <c r="E138" s="230"/>
      <c r="F138" s="230"/>
      <c r="G138" s="230"/>
      <c r="H138" s="230"/>
    </row>
    <row r="139" spans="1:8">
      <c r="A139" s="237"/>
      <c r="B139" s="238"/>
      <c r="C139" s="238"/>
      <c r="D139" s="238"/>
      <c r="E139" s="238"/>
      <c r="F139" s="238"/>
      <c r="G139" s="238"/>
      <c r="H139" s="238"/>
    </row>
    <row r="140" spans="1:8">
      <c r="A140" s="239" t="s">
        <v>600</v>
      </c>
    </row>
    <row r="141" spans="1:8">
      <c r="A141" s="220" t="s">
        <v>688</v>
      </c>
      <c r="B141" s="240">
        <f t="shared" ref="B141:C143" si="21">(B124*100)</f>
        <v>78097.219200000007</v>
      </c>
      <c r="C141" s="240">
        <f t="shared" si="21"/>
        <v>84605.320800000016</v>
      </c>
      <c r="D141" s="240">
        <f t="shared" ref="D141:H141" si="22">(D124*100)</f>
        <v>91113.422400000025</v>
      </c>
      <c r="E141" s="240">
        <f t="shared" si="22"/>
        <v>97621.524000000019</v>
      </c>
      <c r="F141" s="240">
        <f t="shared" si="22"/>
        <v>104129.62560000003</v>
      </c>
      <c r="G141" s="240">
        <f t="shared" si="22"/>
        <v>110637.72720000002</v>
      </c>
      <c r="H141" s="240">
        <f t="shared" si="22"/>
        <v>117145.82880000005</v>
      </c>
    </row>
    <row r="142" spans="1:8">
      <c r="A142" s="220" t="s">
        <v>689</v>
      </c>
      <c r="B142" s="240">
        <f t="shared" ref="B142:H142" si="23">(B125*4)</f>
        <v>7329.1236479999998</v>
      </c>
      <c r="C142" s="240">
        <f t="shared" si="23"/>
        <v>7939.883952000001</v>
      </c>
      <c r="D142" s="240">
        <f t="shared" si="23"/>
        <v>8550.6442560000014</v>
      </c>
      <c r="E142" s="240">
        <f t="shared" si="23"/>
        <v>9161.4045600000027</v>
      </c>
      <c r="F142" s="240">
        <f t="shared" si="23"/>
        <v>9772.1648640000021</v>
      </c>
      <c r="G142" s="240">
        <f t="shared" si="23"/>
        <v>10382.925168000002</v>
      </c>
      <c r="H142" s="240">
        <f t="shared" si="23"/>
        <v>10993.685472000005</v>
      </c>
    </row>
    <row r="143" spans="1:8">
      <c r="A143" s="220" t="s">
        <v>690</v>
      </c>
      <c r="B143" s="240">
        <f>(B126*100)</f>
        <v>39048.609600000003</v>
      </c>
      <c r="C143" s="240">
        <f t="shared" si="21"/>
        <v>42302.660400000008</v>
      </c>
      <c r="D143" s="240">
        <f t="shared" ref="D143:H143" si="24">(D126*100)</f>
        <v>45556.711200000012</v>
      </c>
      <c r="E143" s="240">
        <f t="shared" si="24"/>
        <v>48810.76200000001</v>
      </c>
      <c r="F143" s="240">
        <f t="shared" si="24"/>
        <v>52064.812800000014</v>
      </c>
      <c r="G143" s="240">
        <f t="shared" si="24"/>
        <v>55318.863600000012</v>
      </c>
      <c r="H143" s="240">
        <f t="shared" si="24"/>
        <v>58572.914400000023</v>
      </c>
    </row>
    <row r="144" spans="1:8">
      <c r="A144" s="220" t="s">
        <v>746</v>
      </c>
      <c r="B144" s="241">
        <f>B39*B40</f>
        <v>7008.7247999999981</v>
      </c>
      <c r="C144" s="241">
        <f t="shared" ref="C144:H144" si="25">C39*C40</f>
        <v>7592.7851999999993</v>
      </c>
      <c r="D144" s="241">
        <f t="shared" si="25"/>
        <v>8176.8455999999996</v>
      </c>
      <c r="E144" s="241">
        <f t="shared" si="25"/>
        <v>8760.9060000000009</v>
      </c>
      <c r="F144" s="241">
        <f t="shared" si="25"/>
        <v>9344.9663999999993</v>
      </c>
      <c r="G144" s="241">
        <f t="shared" si="25"/>
        <v>9929.0268000000015</v>
      </c>
      <c r="H144" s="241">
        <f t="shared" si="25"/>
        <v>10513.087200000002</v>
      </c>
    </row>
    <row r="145" spans="1:10">
      <c r="B145" s="242"/>
      <c r="C145" s="242"/>
    </row>
    <row r="146" spans="1:10">
      <c r="B146" s="242"/>
      <c r="C146" s="242"/>
      <c r="D146" s="242"/>
    </row>
    <row r="147" spans="1:10">
      <c r="A147" s="415" t="s">
        <v>691</v>
      </c>
      <c r="B147" s="415"/>
      <c r="C147" s="415"/>
      <c r="D147" s="415"/>
      <c r="E147" s="415"/>
      <c r="F147" s="415"/>
      <c r="G147" s="415"/>
      <c r="H147" s="415"/>
      <c r="I147" s="415"/>
      <c r="J147" s="415"/>
    </row>
    <row r="148" spans="1:10">
      <c r="A148" s="243"/>
      <c r="B148" s="243"/>
      <c r="C148" s="243"/>
      <c r="D148" s="243"/>
      <c r="E148" s="243"/>
      <c r="F148" s="243"/>
      <c r="G148" s="243"/>
      <c r="H148" s="243"/>
    </row>
    <row r="149" spans="1:10">
      <c r="A149" s="243"/>
      <c r="B149" s="243"/>
      <c r="C149" s="243"/>
      <c r="D149" s="244">
        <v>1</v>
      </c>
      <c r="E149" s="245">
        <f>(D149*5%)+D149</f>
        <v>1.05</v>
      </c>
      <c r="F149" s="245">
        <f t="shared" ref="F149:J149" si="26">(E149*5%)+E149</f>
        <v>1.1025</v>
      </c>
      <c r="G149" s="245">
        <f t="shared" si="26"/>
        <v>1.1576250000000001</v>
      </c>
      <c r="H149" s="245">
        <f t="shared" si="26"/>
        <v>1.2155062500000002</v>
      </c>
      <c r="I149" s="245">
        <f t="shared" si="26"/>
        <v>1.2762815625000004</v>
      </c>
      <c r="J149" s="245">
        <f t="shared" si="26"/>
        <v>1.3400956406250004</v>
      </c>
    </row>
    <row r="151" spans="1:10">
      <c r="A151" s="246" t="s">
        <v>145</v>
      </c>
      <c r="B151" s="246" t="s">
        <v>115</v>
      </c>
      <c r="C151" s="246" t="s">
        <v>126</v>
      </c>
      <c r="D151" s="247" t="s">
        <v>148</v>
      </c>
      <c r="E151" s="247" t="s">
        <v>149</v>
      </c>
      <c r="F151" s="247" t="s">
        <v>150</v>
      </c>
      <c r="G151" s="247" t="s">
        <v>151</v>
      </c>
      <c r="H151" s="247" t="s">
        <v>152</v>
      </c>
      <c r="I151" s="247" t="s">
        <v>153</v>
      </c>
      <c r="J151" s="247" t="s">
        <v>154</v>
      </c>
    </row>
    <row r="152" spans="1:10">
      <c r="A152" s="223"/>
      <c r="B152" s="223"/>
      <c r="C152" s="223"/>
      <c r="D152" s="223"/>
      <c r="E152" s="223"/>
      <c r="F152" s="223"/>
      <c r="G152" s="223"/>
      <c r="H152" s="223"/>
      <c r="I152" s="223"/>
      <c r="J152" s="223"/>
    </row>
    <row r="153" spans="1:10">
      <c r="A153" s="234" t="s">
        <v>343</v>
      </c>
      <c r="B153" s="234"/>
      <c r="C153" s="234"/>
      <c r="D153" s="248"/>
      <c r="E153" s="248"/>
      <c r="F153" s="248"/>
      <c r="G153" s="248"/>
      <c r="H153" s="248"/>
      <c r="I153" s="223"/>
      <c r="J153" s="223"/>
    </row>
    <row r="154" spans="1:10">
      <c r="A154" s="223" t="str">
        <f>A124</f>
        <v>STANDARD KARNEL</v>
      </c>
      <c r="B154" s="249" t="s">
        <v>692</v>
      </c>
      <c r="C154" s="249">
        <v>650</v>
      </c>
      <c r="D154" s="230">
        <f>(B141*(1-'5.Closing Stock &amp; W Capital'!$D$18)*$C154*D$149)</f>
        <v>50255560.555200003</v>
      </c>
      <c r="E154" s="230">
        <f>(((C141*(1-'5.Closing Stock &amp; W Capital'!$D$18))+(B141*'5.Closing Stock &amp; W Capital'!$D$18))*$C154*E$149)</f>
        <v>57698713.652580015</v>
      </c>
      <c r="F154" s="230">
        <f>(((D141*(1-'5.Closing Stock &amp; W Capital'!$D$18))+(C141*'5.Closing Stock &amp; W Capital'!$D$18))*$C154*F$149)</f>
        <v>65247517.644309029</v>
      </c>
      <c r="G154" s="230">
        <f>(((E141*(1-'5.Closing Stock &amp; W Capital'!$D$18))+(D141*'5.Closing Stock &amp; W Capital'!$D$18))*$C154*G$149)</f>
        <v>73406955.25107947</v>
      </c>
      <c r="H154" s="230">
        <f>(((F141*(1-'5.Closing Stock &amp; W Capital'!$D$18))+(E141*'5.Closing Stock &amp; W Capital'!$D$18))*$C154*H$149)</f>
        <v>82219217.82441622</v>
      </c>
      <c r="I154" s="230">
        <f>(((G141*(1-'5.Closing Stock &amp; W Capital'!$D$18))+(F141*'5.Closing Stock &amp; W Capital'!$D$18))*$C154*I$149)</f>
        <v>91729189.266958922</v>
      </c>
      <c r="J154" s="230">
        <f>(((H141*(1-'5.Closing Stock &amp; W Capital'!$D$18))+(G141*'5.Closing Stock &amp; W Capital'!$D$18))*$C154*J$149)</f>
        <v>101984609.80919486</v>
      </c>
    </row>
    <row r="155" spans="1:10">
      <c r="A155" s="223" t="str">
        <f>A125</f>
        <v>SHELL</v>
      </c>
      <c r="B155" s="249" t="s">
        <v>604</v>
      </c>
      <c r="C155" s="249">
        <v>175</v>
      </c>
      <c r="D155" s="230">
        <f>(B142*(1-'5.Closing Stock &amp; W Capital'!$D$18)*$C155*D$149)</f>
        <v>1269770.6720159999</v>
      </c>
      <c r="E155" s="230">
        <f>(((C142*(1-'5.Closing Stock &amp; W Capital'!$D$18))+(B142*'5.Closing Stock &amp; W Capital'!$D$18))*$C155*E$149)</f>
        <v>1457831.4041214001</v>
      </c>
      <c r="F155" s="230">
        <f>(((D142*(1-'5.Closing Stock &amp; W Capital'!$D$18))+(C142*'5.Closing Stock &amp; W Capital'!$D$18))*$C155*F$149)</f>
        <v>1648561.5404804703</v>
      </c>
      <c r="G155" s="230">
        <f>(((E142*(1-'5.Closing Stock &amp; W Capital'!$D$18))+(D142*'5.Closing Stock &amp; W Capital'!$D$18))*$C155*G$149)</f>
        <v>1854720.1119651443</v>
      </c>
      <c r="H155" s="230">
        <f>(((F142*(1-'5.Closing Stock &amp; W Capital'!$D$18))+(E142*'5.Closing Stock &amp; W Capital'!$D$18))*$C155*H$149)</f>
        <v>2077373.1367470841</v>
      </c>
      <c r="I155" s="230">
        <f>(((G142*(1-'5.Closing Stock &amp; W Capital'!$D$18))+(F142*'5.Closing Stock &amp; W Capital'!$D$18))*$C155*I$149)</f>
        <v>2317654.6637273049</v>
      </c>
      <c r="J155" s="230">
        <f>(((H142*(1-'5.Closing Stock &amp; W Capital'!$D$18))+(G142*'5.Closing Stock &amp; W Capital'!$D$18))*$C155*J$149)</f>
        <v>2576770.9105636813</v>
      </c>
    </row>
    <row r="156" spans="1:10">
      <c r="A156" s="223" t="str">
        <f>A126</f>
        <v>HUSK</v>
      </c>
      <c r="B156" s="249" t="s">
        <v>693</v>
      </c>
      <c r="C156" s="249">
        <v>10</v>
      </c>
      <c r="D156" s="230">
        <f>(B143*(1-'5.Closing Stock &amp; W Capital'!$D$18)*$C156*D$149)</f>
        <v>386581.23504000006</v>
      </c>
      <c r="E156" s="230">
        <f>(((C143*(1-'5.Closing Stock &amp; W Capital'!$D$18))+(B143*'5.Closing Stock &amp; W Capital'!$D$18))*$C156*E$149)</f>
        <v>443836.25886600016</v>
      </c>
      <c r="F156" s="230">
        <f>(((D143*(1-'5.Closing Stock &amp; W Capital'!$D$18))+(C143*'5.Closing Stock &amp; W Capital'!$D$18))*$C156*F$149)</f>
        <v>501903.98187930015</v>
      </c>
      <c r="G156" s="230">
        <f>(((E143*(1-'5.Closing Stock &amp; W Capital'!$D$18))+(D143*'5.Closing Stock &amp; W Capital'!$D$18))*$C156*G$149)</f>
        <v>564668.8865467651</v>
      </c>
      <c r="H156" s="230">
        <f>(((F143*(1-'5.Closing Stock &amp; W Capital'!$D$18))+(E143*'5.Closing Stock &amp; W Capital'!$D$18))*$C156*H$149)</f>
        <v>632455.52172627859</v>
      </c>
      <c r="I156" s="230">
        <f>(((G143*(1-'5.Closing Stock &amp; W Capital'!$D$18))+(F143*'5.Closing Stock &amp; W Capital'!$D$18))*$C156*I$149)</f>
        <v>705609.14820737625</v>
      </c>
      <c r="J156" s="230">
        <f>(((H143*(1-'5.Closing Stock &amp; W Capital'!$D$18))+(G143*'5.Closing Stock &amp; W Capital'!$D$18))*$C156*J$149)</f>
        <v>784496.99853226822</v>
      </c>
    </row>
    <row r="157" spans="1:10">
      <c r="A157" s="223" t="s">
        <v>575</v>
      </c>
      <c r="B157" s="249" t="s">
        <v>747</v>
      </c>
      <c r="C157" s="249">
        <v>850</v>
      </c>
      <c r="D157" s="230">
        <f>(B144*(1-'5.Closing Stock &amp; W Capital'!$D$18)*$C157*D$149)</f>
        <v>5897841.9191999985</v>
      </c>
      <c r="E157" s="230">
        <f>(C144*(1-'5.Closing Stock &amp; W Capital'!$D$18)*$C157*E$149)</f>
        <v>6708795.1830900004</v>
      </c>
      <c r="F157" s="230">
        <f>(D144*(1-'5.Closing Stock &amp; W Capital'!$D$18)*$C157*F$149)</f>
        <v>7586099.168571</v>
      </c>
      <c r="G157" s="230">
        <f>(E144*(1-'5.Closing Stock &amp; W Capital'!$D$18)*$C157*G$149)</f>
        <v>8534361.5646423753</v>
      </c>
      <c r="H157" s="230">
        <f>(F144*(1-'5.Closing Stock &amp; W Capital'!$D$18)*$C157*H$149)</f>
        <v>9558484.9523994606</v>
      </c>
      <c r="I157" s="230">
        <f>(G144*(1-'5.Closing Stock &amp; W Capital'!$D$18)*$C157*I$149)</f>
        <v>10663684.775020652</v>
      </c>
      <c r="J157" s="230">
        <f>(H144*(1-'5.Closing Stock &amp; W Capital'!$D$18)*$C157*J$149)</f>
        <v>11855508.367522961</v>
      </c>
    </row>
    <row r="158" spans="1:10">
      <c r="A158" s="223"/>
      <c r="B158" s="223"/>
      <c r="C158" s="223"/>
      <c r="D158" s="230"/>
      <c r="E158" s="230"/>
      <c r="F158" s="230"/>
      <c r="G158" s="230"/>
      <c r="H158" s="230"/>
      <c r="I158" s="230"/>
      <c r="J158" s="230"/>
    </row>
    <row r="159" spans="1:10">
      <c r="A159" s="234" t="s">
        <v>343</v>
      </c>
      <c r="B159" s="234"/>
      <c r="C159" s="234"/>
      <c r="D159" s="236">
        <f t="shared" ref="D159:J159" si="27">SUM(D154:D157)</f>
        <v>57809754.381456003</v>
      </c>
      <c r="E159" s="236">
        <f t="shared" si="27"/>
        <v>66309176.498657413</v>
      </c>
      <c r="F159" s="236">
        <f t="shared" si="27"/>
        <v>74984082.335239798</v>
      </c>
      <c r="G159" s="236">
        <f t="shared" si="27"/>
        <v>84360705.81423375</v>
      </c>
      <c r="H159" s="236">
        <f t="shared" si="27"/>
        <v>94487531.43528904</v>
      </c>
      <c r="I159" s="236">
        <f t="shared" si="27"/>
        <v>105416137.85391426</v>
      </c>
      <c r="J159" s="236">
        <f t="shared" si="27"/>
        <v>117201386.08581376</v>
      </c>
    </row>
    <row r="160" spans="1:10">
      <c r="A160" s="223"/>
      <c r="B160" s="223"/>
      <c r="C160" s="223"/>
      <c r="D160" s="230"/>
      <c r="E160" s="230"/>
      <c r="F160" s="230"/>
      <c r="G160" s="230"/>
      <c r="H160" s="230"/>
      <c r="I160" s="230"/>
      <c r="J160" s="230"/>
    </row>
    <row r="161" spans="1:10">
      <c r="A161" s="234" t="s">
        <v>576</v>
      </c>
      <c r="B161" s="234"/>
      <c r="C161" s="234"/>
      <c r="D161" s="230"/>
      <c r="E161" s="230"/>
      <c r="F161" s="230"/>
      <c r="G161" s="230"/>
      <c r="H161" s="230"/>
      <c r="I161" s="230"/>
      <c r="J161" s="230"/>
    </row>
    <row r="162" spans="1:10">
      <c r="A162" s="234" t="s">
        <v>345</v>
      </c>
      <c r="B162" s="234"/>
      <c r="C162" s="223"/>
      <c r="D162" s="230"/>
      <c r="E162" s="230"/>
      <c r="F162" s="230"/>
      <c r="G162" s="230"/>
      <c r="H162" s="230"/>
      <c r="I162" s="230"/>
      <c r="J162" s="230"/>
    </row>
    <row r="163" spans="1:10">
      <c r="A163" s="232" t="s">
        <v>544</v>
      </c>
      <c r="B163" s="249" t="s">
        <v>574</v>
      </c>
      <c r="C163" s="250">
        <v>16500</v>
      </c>
      <c r="D163" s="230">
        <f>B62*$C163*D$149</f>
        <v>49561696.799999997</v>
      </c>
      <c r="E163" s="230">
        <f>C62*$C163*E$149</f>
        <v>56376430.110000014</v>
      </c>
      <c r="F163" s="230">
        <f t="shared" ref="F163:J163" si="28">D62*$C163*F$149</f>
        <v>63748732.509000018</v>
      </c>
      <c r="G163" s="230">
        <f t="shared" si="28"/>
        <v>71717324.072625026</v>
      </c>
      <c r="H163" s="230">
        <f t="shared" si="28"/>
        <v>80323402.961340025</v>
      </c>
      <c r="I163" s="230">
        <f t="shared" si="28"/>
        <v>89610796.428744972</v>
      </c>
      <c r="J163" s="230">
        <f t="shared" si="28"/>
        <v>99626120.735487089</v>
      </c>
    </row>
    <row r="164" spans="1:10">
      <c r="A164" s="223" t="s">
        <v>694</v>
      </c>
      <c r="B164" s="249" t="s">
        <v>574</v>
      </c>
      <c r="C164" s="249">
        <v>500</v>
      </c>
      <c r="D164" s="230">
        <f>(B62*10%)*$C164*D$149</f>
        <v>150186.96</v>
      </c>
      <c r="E164" s="230">
        <f t="shared" ref="E164:J164" si="29">(C62*10%)*$C164*E$149</f>
        <v>170837.66700000004</v>
      </c>
      <c r="F164" s="230">
        <f t="shared" si="29"/>
        <v>193177.97730000006</v>
      </c>
      <c r="G164" s="230">
        <f t="shared" si="29"/>
        <v>217325.2244625001</v>
      </c>
      <c r="H164" s="230">
        <f t="shared" si="29"/>
        <v>243404.25139800011</v>
      </c>
      <c r="I164" s="230">
        <f t="shared" si="29"/>
        <v>271547.86796589388</v>
      </c>
      <c r="J164" s="230">
        <f t="shared" si="29"/>
        <v>301897.33556208212</v>
      </c>
    </row>
    <row r="165" spans="1:10">
      <c r="A165" s="223" t="s">
        <v>609</v>
      </c>
      <c r="B165" s="249">
        <v>12</v>
      </c>
      <c r="C165" s="249">
        <v>300</v>
      </c>
      <c r="D165" s="230">
        <f t="shared" ref="D165:J165" si="30">B12*$B$165*$C$165*D149</f>
        <v>450560.87999999989</v>
      </c>
      <c r="E165" s="230">
        <f t="shared" si="30"/>
        <v>512513.00099999993</v>
      </c>
      <c r="F165" s="230">
        <f t="shared" si="30"/>
        <v>579533.93190000008</v>
      </c>
      <c r="G165" s="230">
        <f t="shared" si="30"/>
        <v>651975.67338750022</v>
      </c>
      <c r="H165" s="230">
        <f t="shared" si="30"/>
        <v>730212.75419400015</v>
      </c>
      <c r="I165" s="230">
        <f t="shared" si="30"/>
        <v>814643.60389768158</v>
      </c>
      <c r="J165" s="230">
        <f t="shared" si="30"/>
        <v>905692.00668624626</v>
      </c>
    </row>
    <row r="166" spans="1:10">
      <c r="A166" s="223" t="s">
        <v>729</v>
      </c>
      <c r="B166" s="249">
        <v>1</v>
      </c>
      <c r="C166" s="249">
        <v>40</v>
      </c>
      <c r="D166" s="230">
        <f>B12*$B$6*$C$166*$B$166*D149</f>
        <v>40049.855999999992</v>
      </c>
      <c r="E166" s="230">
        <f t="shared" ref="E166:J166" si="31">C12*$B$6*$C$166*$B$166*E149</f>
        <v>45556.711199999998</v>
      </c>
      <c r="F166" s="230">
        <f t="shared" si="31"/>
        <v>51514.127280000015</v>
      </c>
      <c r="G166" s="230">
        <f t="shared" si="31"/>
        <v>57953.393190000017</v>
      </c>
      <c r="H166" s="230">
        <f t="shared" si="31"/>
        <v>64907.800372800019</v>
      </c>
      <c r="I166" s="230">
        <f t="shared" si="31"/>
        <v>72412.764790905028</v>
      </c>
      <c r="J166" s="230">
        <f t="shared" si="31"/>
        <v>80505.956149888545</v>
      </c>
    </row>
    <row r="167" spans="1:10">
      <c r="A167" s="223" t="s">
        <v>578</v>
      </c>
      <c r="B167" s="229">
        <f>'2.Capex Details'!H73*0.746*8</f>
        <v>596.79999999999995</v>
      </c>
      <c r="C167" s="249">
        <v>8</v>
      </c>
      <c r="D167" s="230">
        <f t="shared" ref="D167:J167" si="32">$B$167*$C$167*B12*D149</f>
        <v>597543.85151999979</v>
      </c>
      <c r="E167" s="230">
        <f t="shared" si="32"/>
        <v>679706.1311039998</v>
      </c>
      <c r="F167" s="230">
        <f t="shared" si="32"/>
        <v>768590.7790176</v>
      </c>
      <c r="G167" s="230">
        <f t="shared" si="32"/>
        <v>864664.62639480014</v>
      </c>
      <c r="H167" s="230">
        <f t="shared" si="32"/>
        <v>968424.38156217616</v>
      </c>
      <c r="I167" s="230">
        <f t="shared" si="32"/>
        <v>1080398.4506803029</v>
      </c>
      <c r="J167" s="230">
        <f t="shared" si="32"/>
        <v>1201148.8657563371</v>
      </c>
    </row>
    <row r="168" spans="1:10">
      <c r="A168" s="223" t="s">
        <v>610</v>
      </c>
      <c r="B168" s="223" t="s">
        <v>574</v>
      </c>
      <c r="C168" s="249">
        <v>100</v>
      </c>
      <c r="D168" s="230">
        <f>B62*$C168*D$149</f>
        <v>300373.92</v>
      </c>
      <c r="E168" s="230">
        <f t="shared" ref="E168:J168" si="33">C62*$C168*E$149</f>
        <v>341675.33400000003</v>
      </c>
      <c r="F168" s="230">
        <f t="shared" si="33"/>
        <v>386355.95460000011</v>
      </c>
      <c r="G168" s="230">
        <f t="shared" si="33"/>
        <v>434650.44892500015</v>
      </c>
      <c r="H168" s="230">
        <f t="shared" si="33"/>
        <v>486808.50279600022</v>
      </c>
      <c r="I168" s="230">
        <f t="shared" si="33"/>
        <v>543095.73593178776</v>
      </c>
      <c r="J168" s="230">
        <f t="shared" si="33"/>
        <v>603794.67112416413</v>
      </c>
    </row>
    <row r="169" spans="1:10">
      <c r="A169" s="216" t="s">
        <v>611</v>
      </c>
      <c r="B169" s="216"/>
      <c r="C169" s="251">
        <v>15</v>
      </c>
      <c r="D169" s="230">
        <f>SUM(B141)*$C$169*D$149</f>
        <v>1171458.2880000002</v>
      </c>
      <c r="E169" s="230">
        <f t="shared" ref="E169:J169" si="34">SUM(C141)*$C$169*E$149</f>
        <v>1332533.8026000003</v>
      </c>
      <c r="F169" s="230">
        <f t="shared" si="34"/>
        <v>1506788.2229400005</v>
      </c>
      <c r="G169" s="230">
        <f t="shared" si="34"/>
        <v>1695136.7508075007</v>
      </c>
      <c r="H169" s="230">
        <f t="shared" si="34"/>
        <v>1898553.160904401</v>
      </c>
      <c r="I169" s="230">
        <f t="shared" si="34"/>
        <v>2118073.3701339723</v>
      </c>
      <c r="J169" s="230">
        <f t="shared" si="34"/>
        <v>2354799.2173842401</v>
      </c>
    </row>
    <row r="170" spans="1:10">
      <c r="A170" s="223" t="s">
        <v>612</v>
      </c>
      <c r="B170" s="223"/>
      <c r="C170" s="249">
        <v>5</v>
      </c>
      <c r="D170" s="230">
        <f>SUM(B141:B143)*$C$170*D$149</f>
        <v>622374.76223999995</v>
      </c>
      <c r="E170" s="230">
        <f t="shared" ref="E170:J170" si="35">SUM(C141:C143)*$C$170*E$149</f>
        <v>707951.29204800015</v>
      </c>
      <c r="F170" s="230">
        <f t="shared" si="35"/>
        <v>800529.53793120012</v>
      </c>
      <c r="G170" s="230">
        <f t="shared" si="35"/>
        <v>900595.73017260036</v>
      </c>
      <c r="H170" s="230">
        <f t="shared" si="35"/>
        <v>1008667.2177933124</v>
      </c>
      <c r="I170" s="230">
        <f t="shared" si="35"/>
        <v>1125294.3648506643</v>
      </c>
      <c r="J170" s="230">
        <f t="shared" si="35"/>
        <v>1251062.5585692681</v>
      </c>
    </row>
    <row r="171" spans="1:10">
      <c r="A171" s="223"/>
      <c r="B171" s="223"/>
      <c r="C171" s="223"/>
      <c r="D171" s="223"/>
      <c r="E171" s="223"/>
      <c r="F171" s="223"/>
      <c r="G171" s="223"/>
      <c r="H171" s="223"/>
      <c r="I171" s="223"/>
      <c r="J171" s="223"/>
    </row>
    <row r="172" spans="1:10" hidden="1">
      <c r="A172" s="223"/>
      <c r="B172" s="223"/>
      <c r="C172" s="223"/>
      <c r="D172" s="223"/>
      <c r="E172" s="223"/>
      <c r="F172" s="223"/>
      <c r="G172" s="223"/>
      <c r="H172" s="223"/>
      <c r="I172" s="223"/>
      <c r="J172" s="223"/>
    </row>
    <row r="173" spans="1:10" hidden="1">
      <c r="A173" s="223"/>
      <c r="B173" s="223"/>
      <c r="C173" s="223"/>
      <c r="D173" s="223"/>
      <c r="E173" s="223"/>
      <c r="F173" s="223"/>
      <c r="G173" s="223"/>
      <c r="H173" s="223"/>
      <c r="I173" s="223"/>
      <c r="J173" s="223"/>
    </row>
    <row r="174" spans="1:10" hidden="1">
      <c r="A174" s="223"/>
      <c r="B174" s="223"/>
      <c r="C174" s="223"/>
      <c r="D174" s="223"/>
      <c r="E174" s="223"/>
      <c r="F174" s="223"/>
      <c r="G174" s="223"/>
      <c r="H174" s="223"/>
      <c r="I174" s="223"/>
      <c r="J174" s="223"/>
    </row>
    <row r="175" spans="1:10">
      <c r="A175" s="252" t="s">
        <v>580</v>
      </c>
      <c r="B175" s="230"/>
      <c r="C175" s="230"/>
      <c r="D175" s="230"/>
      <c r="E175" s="230">
        <f>D176</f>
        <v>522718.70555520005</v>
      </c>
      <c r="F175" s="230">
        <f t="shared" ref="F175:J175" si="36">E176</f>
        <v>594592.52756904019</v>
      </c>
      <c r="G175" s="230">
        <f t="shared" si="36"/>
        <v>672346.93502037611</v>
      </c>
      <c r="H175" s="230">
        <f t="shared" si="36"/>
        <v>756390.30189792311</v>
      </c>
      <c r="I175" s="230">
        <f t="shared" si="36"/>
        <v>847157.13812567398</v>
      </c>
      <c r="J175" s="230">
        <f t="shared" si="36"/>
        <v>945109.68222145503</v>
      </c>
    </row>
    <row r="176" spans="1:10">
      <c r="A176" s="252" t="s">
        <v>581</v>
      </c>
      <c r="B176" s="230"/>
      <c r="C176" s="230"/>
      <c r="D176" s="230">
        <f>'5.Closing Stock &amp; W Capital'!E18</f>
        <v>522718.70555520005</v>
      </c>
      <c r="E176" s="230">
        <f>'5.Closing Stock &amp; W Capital'!F18</f>
        <v>594592.52756904019</v>
      </c>
      <c r="F176" s="230">
        <f>'5.Closing Stock &amp; W Capital'!G18</f>
        <v>672346.93502037611</v>
      </c>
      <c r="G176" s="230">
        <f>'5.Closing Stock &amp; W Capital'!H18</f>
        <v>756390.30189792311</v>
      </c>
      <c r="H176" s="230">
        <f>'5.Closing Stock &amp; W Capital'!I18</f>
        <v>847157.13812567398</v>
      </c>
      <c r="I176" s="230">
        <f>'5.Closing Stock &amp; W Capital'!J18</f>
        <v>945109.68222145503</v>
      </c>
      <c r="J176" s="230">
        <f>'5.Closing Stock &amp; W Capital'!K18</f>
        <v>1050739.5878815004</v>
      </c>
    </row>
    <row r="177" spans="1:10">
      <c r="A177" s="230"/>
      <c r="B177" s="230"/>
      <c r="C177" s="230"/>
      <c r="D177" s="230"/>
      <c r="E177" s="230"/>
      <c r="F177" s="230"/>
      <c r="G177" s="230"/>
      <c r="H177" s="230"/>
      <c r="I177" s="230"/>
      <c r="J177" s="230"/>
    </row>
    <row r="178" spans="1:10">
      <c r="A178" s="236" t="s">
        <v>346</v>
      </c>
      <c r="B178" s="230"/>
      <c r="C178" s="230"/>
      <c r="D178" s="236">
        <f t="shared" ref="D178:J178" si="37">SUM(D163:D175)-D176</f>
        <v>52371526.612204805</v>
      </c>
      <c r="E178" s="236">
        <f t="shared" si="37"/>
        <v>60095330.226938181</v>
      </c>
      <c r="F178" s="236">
        <f t="shared" si="37"/>
        <v>67957468.632517487</v>
      </c>
      <c r="G178" s="236">
        <f t="shared" si="37"/>
        <v>76455582.553087354</v>
      </c>
      <c r="H178" s="236">
        <f t="shared" si="37"/>
        <v>85633614.194132969</v>
      </c>
      <c r="I178" s="236">
        <f t="shared" si="37"/>
        <v>95538310.042900383</v>
      </c>
      <c r="J178" s="236">
        <f t="shared" si="37"/>
        <v>106219391.44105925</v>
      </c>
    </row>
    <row r="180" spans="1:10">
      <c r="A180" s="213" t="s">
        <v>347</v>
      </c>
      <c r="B180" s="213"/>
      <c r="C180" s="213"/>
      <c r="D180" s="236"/>
      <c r="E180" s="236"/>
      <c r="F180" s="236"/>
      <c r="G180" s="236"/>
      <c r="H180" s="236"/>
      <c r="I180" s="236"/>
      <c r="J180" s="236"/>
    </row>
    <row r="181" spans="1:10">
      <c r="A181" s="223" t="s">
        <v>613</v>
      </c>
      <c r="B181" s="249">
        <v>1</v>
      </c>
      <c r="C181" s="250">
        <v>15000</v>
      </c>
      <c r="D181" s="230">
        <f t="shared" ref="D181:J181" si="38">$B$181*$C$181*12*D149</f>
        <v>180000</v>
      </c>
      <c r="E181" s="230">
        <f t="shared" si="38"/>
        <v>189000</v>
      </c>
      <c r="F181" s="230">
        <f t="shared" si="38"/>
        <v>198450</v>
      </c>
      <c r="G181" s="230">
        <f t="shared" si="38"/>
        <v>208372.50000000003</v>
      </c>
      <c r="H181" s="230">
        <f t="shared" si="38"/>
        <v>218791.12500000003</v>
      </c>
      <c r="I181" s="230">
        <f t="shared" si="38"/>
        <v>229730.68125000005</v>
      </c>
      <c r="J181" s="230">
        <f t="shared" si="38"/>
        <v>241217.21531250008</v>
      </c>
    </row>
    <row r="182" spans="1:10">
      <c r="A182" s="223" t="s">
        <v>679</v>
      </c>
      <c r="B182" s="249">
        <v>3</v>
      </c>
      <c r="C182" s="250">
        <v>10000</v>
      </c>
      <c r="D182" s="230">
        <f t="shared" ref="D182:J182" si="39">$B$182*$C$182*12*D149</f>
        <v>360000</v>
      </c>
      <c r="E182" s="230">
        <f t="shared" si="39"/>
        <v>378000</v>
      </c>
      <c r="F182" s="230">
        <f t="shared" si="39"/>
        <v>396900</v>
      </c>
      <c r="G182" s="230">
        <f t="shared" si="39"/>
        <v>416745.00000000006</v>
      </c>
      <c r="H182" s="230">
        <f t="shared" si="39"/>
        <v>437582.25000000006</v>
      </c>
      <c r="I182" s="230">
        <f t="shared" si="39"/>
        <v>459461.3625000001</v>
      </c>
      <c r="J182" s="230">
        <f t="shared" si="39"/>
        <v>482434.43062500015</v>
      </c>
    </row>
    <row r="183" spans="1:10" hidden="1">
      <c r="A183" s="223"/>
      <c r="B183" s="249"/>
      <c r="C183" s="250"/>
      <c r="D183" s="230"/>
      <c r="E183" s="230"/>
      <c r="F183" s="230"/>
      <c r="G183" s="230"/>
      <c r="H183" s="230"/>
      <c r="I183" s="230"/>
      <c r="J183" s="230"/>
    </row>
    <row r="184" spans="1:10" hidden="1">
      <c r="A184" s="223"/>
      <c r="B184" s="249"/>
      <c r="C184" s="250"/>
      <c r="D184" s="230"/>
      <c r="E184" s="230"/>
      <c r="F184" s="230"/>
      <c r="G184" s="230"/>
      <c r="H184" s="230"/>
      <c r="I184" s="230"/>
      <c r="J184" s="230"/>
    </row>
    <row r="185" spans="1:10" hidden="1">
      <c r="A185" s="223"/>
      <c r="B185" s="249"/>
      <c r="C185" s="250"/>
      <c r="D185" s="230"/>
      <c r="E185" s="230"/>
      <c r="F185" s="230"/>
      <c r="G185" s="230"/>
      <c r="H185" s="230"/>
      <c r="I185" s="230"/>
      <c r="J185" s="230"/>
    </row>
    <row r="186" spans="1:10">
      <c r="A186" s="234" t="s">
        <v>347</v>
      </c>
      <c r="B186" s="234"/>
      <c r="C186" s="234"/>
      <c r="D186" s="236">
        <f>SUM(D181:D185)</f>
        <v>540000</v>
      </c>
      <c r="E186" s="236">
        <f t="shared" ref="E186:J186" si="40">SUM(E181:E185)</f>
        <v>567000</v>
      </c>
      <c r="F186" s="236">
        <f t="shared" si="40"/>
        <v>595350</v>
      </c>
      <c r="G186" s="236">
        <f t="shared" si="40"/>
        <v>625117.50000000012</v>
      </c>
      <c r="H186" s="236">
        <f t="shared" si="40"/>
        <v>656373.37500000012</v>
      </c>
      <c r="I186" s="236">
        <f t="shared" si="40"/>
        <v>689192.04375000019</v>
      </c>
      <c r="J186" s="236">
        <f t="shared" si="40"/>
        <v>723651.64593750029</v>
      </c>
    </row>
    <row r="187" spans="1:10">
      <c r="A187" s="213" t="s">
        <v>614</v>
      </c>
      <c r="B187" s="213"/>
      <c r="C187" s="213"/>
      <c r="D187" s="236">
        <f>D178+D186</f>
        <v>52911526.612204805</v>
      </c>
      <c r="E187" s="236">
        <f t="shared" ref="E187:J187" si="41">E178+E186</f>
        <v>60662330.226938181</v>
      </c>
      <c r="F187" s="236">
        <f t="shared" si="41"/>
        <v>68552818.632517487</v>
      </c>
      <c r="G187" s="236">
        <f t="shared" si="41"/>
        <v>77080700.053087354</v>
      </c>
      <c r="H187" s="236">
        <f t="shared" si="41"/>
        <v>86289987.569132969</v>
      </c>
      <c r="I187" s="236">
        <f t="shared" si="41"/>
        <v>96227502.086650386</v>
      </c>
      <c r="J187" s="236">
        <f t="shared" si="41"/>
        <v>106943043.08699675</v>
      </c>
    </row>
    <row r="188" spans="1:10">
      <c r="A188" s="223"/>
      <c r="B188" s="223"/>
      <c r="C188" s="223"/>
      <c r="D188" s="230"/>
      <c r="E188" s="230"/>
      <c r="F188" s="230"/>
      <c r="G188" s="230"/>
      <c r="H188" s="230"/>
      <c r="I188" s="230"/>
      <c r="J188" s="230"/>
    </row>
    <row r="189" spans="1:10">
      <c r="A189" s="234" t="s">
        <v>394</v>
      </c>
      <c r="B189" s="234"/>
      <c r="C189" s="234"/>
      <c r="D189" s="236">
        <f>D159-D187</f>
        <v>4898227.7692511976</v>
      </c>
      <c r="E189" s="236">
        <f t="shared" ref="E189:J189" si="42">E159-E187</f>
        <v>5646846.2717192322</v>
      </c>
      <c r="F189" s="236">
        <f t="shared" si="42"/>
        <v>6431263.702722311</v>
      </c>
      <c r="G189" s="236">
        <f t="shared" si="42"/>
        <v>7280005.7611463964</v>
      </c>
      <c r="H189" s="236">
        <f t="shared" si="42"/>
        <v>8197543.8661560714</v>
      </c>
      <c r="I189" s="236">
        <f t="shared" si="42"/>
        <v>9188635.7672638744</v>
      </c>
      <c r="J189" s="236">
        <f t="shared" si="42"/>
        <v>10258342.998817012</v>
      </c>
    </row>
    <row r="190" spans="1:10">
      <c r="A190" s="226"/>
      <c r="B190" s="226"/>
      <c r="C190" s="226"/>
    </row>
    <row r="191" spans="1:10">
      <c r="D191" s="253">
        <f>D189/D159</f>
        <v>8.4730125939134468E-2</v>
      </c>
      <c r="E191" s="253">
        <f t="shared" ref="E191:J191" si="43">E189/E159</f>
        <v>8.5159348522953926E-2</v>
      </c>
      <c r="F191" s="253">
        <f t="shared" si="43"/>
        <v>8.5768385801793703E-2</v>
      </c>
      <c r="G191" s="253">
        <f t="shared" si="43"/>
        <v>8.6296169417753713E-2</v>
      </c>
      <c r="H191" s="253">
        <f t="shared" si="43"/>
        <v>8.6757942996640372E-2</v>
      </c>
      <c r="I191" s="253">
        <f t="shared" si="43"/>
        <v>8.7165361531243823E-2</v>
      </c>
      <c r="J191" s="253">
        <f t="shared" si="43"/>
        <v>8.7527488721899152E-2</v>
      </c>
    </row>
    <row r="193" spans="1:10">
      <c r="A193" s="415" t="s">
        <v>615</v>
      </c>
      <c r="B193" s="415"/>
      <c r="C193" s="415"/>
      <c r="D193" s="415"/>
      <c r="E193" s="415"/>
      <c r="F193" s="415"/>
      <c r="G193" s="415"/>
      <c r="H193" s="415"/>
      <c r="I193" s="415"/>
      <c r="J193" s="415"/>
    </row>
    <row r="195" spans="1:10">
      <c r="A195" s="220" t="s">
        <v>308</v>
      </c>
    </row>
    <row r="196" spans="1:10">
      <c r="A196" s="220">
        <v>1</v>
      </c>
      <c r="B196" s="220" t="s">
        <v>587</v>
      </c>
    </row>
    <row r="197" spans="1:10">
      <c r="A197" s="220">
        <v>2</v>
      </c>
      <c r="B197" s="220" t="s">
        <v>588</v>
      </c>
      <c r="C197" s="240"/>
      <c r="D197" s="240"/>
      <c r="E197" s="240"/>
    </row>
    <row r="198" spans="1:10">
      <c r="A198" s="220">
        <v>3</v>
      </c>
      <c r="B198" s="220" t="s">
        <v>589</v>
      </c>
    </row>
  </sheetData>
  <mergeCells count="4">
    <mergeCell ref="A3:H3"/>
    <mergeCell ref="A4:H4"/>
    <mergeCell ref="A147:J147"/>
    <mergeCell ref="A193:J193"/>
  </mergeCells>
  <pageMargins left="0.7" right="0.7" top="0.75" bottom="0.75" header="0.3" footer="0.3"/>
  <pageSetup paperSize="9" scale="47" orientation="portrait" r:id="rId1"/>
  <colBreaks count="1" manualBreakCount="1">
    <brk id="10" max="54" man="1"/>
  </colBreaks>
</worksheet>
</file>

<file path=xl/worksheets/sheet19.xml><?xml version="1.0" encoding="utf-8"?>
<worksheet xmlns="http://schemas.openxmlformats.org/spreadsheetml/2006/main" xmlns:r="http://schemas.openxmlformats.org/officeDocument/2006/relationships">
  <sheetPr>
    <pageSetUpPr fitToPage="1"/>
  </sheetPr>
  <dimension ref="E5:R20"/>
  <sheetViews>
    <sheetView workbookViewId="0">
      <selection activeCell="B4" sqref="A1:XFD1048576"/>
    </sheetView>
  </sheetViews>
  <sheetFormatPr defaultColWidth="8.7109375" defaultRowHeight="15"/>
  <cols>
    <col min="1" max="4" width="8.7109375" style="220"/>
    <col min="5" max="5" width="6.85546875" style="225" customWidth="1"/>
    <col min="6" max="6" width="26.140625" style="220" customWidth="1"/>
    <col min="7" max="10" width="8.7109375" style="220"/>
    <col min="11" max="18" width="4.140625" style="220" customWidth="1"/>
    <col min="19" max="16384" width="8.7109375" style="220"/>
  </cols>
  <sheetData>
    <row r="5" spans="5:18">
      <c r="F5" s="226" t="s">
        <v>709</v>
      </c>
    </row>
    <row r="6" spans="5:18" ht="15.75" thickBot="1"/>
    <row r="7" spans="5:18" ht="15.75" thickBot="1">
      <c r="E7" s="493" t="s">
        <v>156</v>
      </c>
      <c r="F7" s="493" t="s">
        <v>696</v>
      </c>
      <c r="G7" s="495" t="s">
        <v>712</v>
      </c>
      <c r="H7" s="496"/>
      <c r="I7" s="496"/>
      <c r="J7" s="497"/>
      <c r="K7" s="495" t="s">
        <v>710</v>
      </c>
      <c r="L7" s="496"/>
      <c r="M7" s="496"/>
      <c r="N7" s="497"/>
      <c r="O7" s="495" t="s">
        <v>711</v>
      </c>
      <c r="P7" s="496"/>
      <c r="Q7" s="496"/>
      <c r="R7" s="497"/>
    </row>
    <row r="8" spans="5:18" ht="15.75" thickBot="1">
      <c r="E8" s="494"/>
      <c r="F8" s="494"/>
      <c r="G8" s="122" t="s">
        <v>697</v>
      </c>
      <c r="H8" s="122" t="s">
        <v>698</v>
      </c>
      <c r="I8" s="122" t="s">
        <v>699</v>
      </c>
      <c r="J8" s="122" t="s">
        <v>700</v>
      </c>
      <c r="K8" s="122" t="s">
        <v>697</v>
      </c>
      <c r="L8" s="122" t="s">
        <v>698</v>
      </c>
      <c r="M8" s="122" t="s">
        <v>699</v>
      </c>
      <c r="N8" s="122" t="s">
        <v>700</v>
      </c>
      <c r="O8" s="122" t="s">
        <v>697</v>
      </c>
      <c r="P8" s="122" t="s">
        <v>698</v>
      </c>
      <c r="Q8" s="122" t="s">
        <v>699</v>
      </c>
      <c r="R8" s="122" t="s">
        <v>700</v>
      </c>
    </row>
    <row r="9" spans="5:18" ht="15.75" thickBot="1">
      <c r="E9" s="123" t="s">
        <v>17</v>
      </c>
      <c r="F9" s="122" t="s">
        <v>701</v>
      </c>
      <c r="G9" s="124"/>
      <c r="H9" s="124"/>
      <c r="I9" s="124"/>
      <c r="J9" s="124"/>
      <c r="K9" s="122"/>
      <c r="L9" s="122"/>
      <c r="M9" s="122"/>
      <c r="N9" s="122"/>
      <c r="O9" s="122"/>
      <c r="P9" s="122"/>
      <c r="Q9" s="122"/>
      <c r="R9" s="122"/>
    </row>
    <row r="10" spans="5:18" ht="15.75" thickBot="1">
      <c r="E10" s="125">
        <v>1</v>
      </c>
      <c r="F10" s="122" t="s">
        <v>121</v>
      </c>
      <c r="G10" s="126"/>
      <c r="H10" s="126"/>
      <c r="I10" s="126"/>
      <c r="J10" s="126"/>
      <c r="K10" s="122"/>
      <c r="L10" s="122"/>
      <c r="M10" s="122"/>
      <c r="N10" s="122"/>
      <c r="O10" s="122"/>
      <c r="P10" s="122"/>
      <c r="Q10" s="122"/>
      <c r="R10" s="122"/>
    </row>
    <row r="11" spans="5:18" ht="15.75" thickBot="1">
      <c r="E11" s="125">
        <v>2</v>
      </c>
      <c r="F11" s="124"/>
      <c r="G11" s="124"/>
      <c r="H11" s="124"/>
      <c r="I11" s="124"/>
      <c r="J11" s="124"/>
      <c r="K11" s="122"/>
      <c r="L11" s="122"/>
      <c r="M11" s="122"/>
      <c r="N11" s="122"/>
      <c r="O11" s="122"/>
      <c r="P11" s="122"/>
      <c r="Q11" s="122"/>
      <c r="R11" s="122"/>
    </row>
    <row r="12" spans="5:18" ht="15.75" thickBot="1">
      <c r="E12" s="123" t="s">
        <v>59</v>
      </c>
      <c r="F12" s="122" t="s">
        <v>702</v>
      </c>
      <c r="G12" s="122"/>
      <c r="H12" s="124"/>
      <c r="I12" s="124"/>
      <c r="J12" s="124"/>
      <c r="K12" s="122"/>
      <c r="L12" s="122"/>
      <c r="M12" s="122"/>
      <c r="N12" s="122"/>
      <c r="O12" s="122"/>
      <c r="P12" s="122"/>
      <c r="Q12" s="122"/>
      <c r="R12" s="122"/>
    </row>
    <row r="13" spans="5:18" ht="15.75" thickBot="1">
      <c r="E13" s="125">
        <v>1</v>
      </c>
      <c r="F13" s="122" t="s">
        <v>703</v>
      </c>
      <c r="G13" s="124"/>
      <c r="H13" s="127"/>
      <c r="I13" s="127"/>
      <c r="J13" s="127"/>
      <c r="K13" s="122"/>
      <c r="L13" s="122"/>
      <c r="M13" s="122"/>
      <c r="N13" s="122"/>
      <c r="O13" s="122"/>
      <c r="P13" s="122"/>
      <c r="Q13" s="122"/>
      <c r="R13" s="122"/>
    </row>
    <row r="14" spans="5:18" ht="15.75" thickBot="1">
      <c r="E14" s="125">
        <v>2</v>
      </c>
      <c r="F14" s="122"/>
      <c r="G14" s="124"/>
      <c r="H14" s="124"/>
      <c r="I14" s="124"/>
      <c r="J14" s="124"/>
      <c r="K14" s="122"/>
      <c r="L14" s="122"/>
      <c r="M14" s="122"/>
      <c r="N14" s="122"/>
      <c r="O14" s="122"/>
      <c r="P14" s="122"/>
      <c r="Q14" s="122"/>
      <c r="R14" s="122"/>
    </row>
    <row r="15" spans="5:18" ht="15.75" thickBot="1">
      <c r="E15" s="123" t="s">
        <v>130</v>
      </c>
      <c r="F15" s="122" t="s">
        <v>704</v>
      </c>
      <c r="G15" s="122"/>
      <c r="H15" s="122"/>
      <c r="I15" s="122"/>
      <c r="J15" s="122"/>
      <c r="K15" s="122"/>
      <c r="L15" s="122"/>
      <c r="M15" s="122"/>
      <c r="N15" s="122"/>
      <c r="O15" s="122"/>
      <c r="P15" s="122"/>
      <c r="Q15" s="122"/>
      <c r="R15" s="122"/>
    </row>
    <row r="16" spans="5:18" ht="15.75" thickBot="1">
      <c r="E16" s="125">
        <v>1</v>
      </c>
      <c r="F16" s="122" t="s">
        <v>705</v>
      </c>
      <c r="G16" s="128"/>
      <c r="H16" s="128"/>
      <c r="I16" s="128"/>
      <c r="J16" s="122"/>
      <c r="K16" s="122"/>
      <c r="L16" s="122"/>
      <c r="M16" s="122"/>
      <c r="N16" s="122"/>
      <c r="O16" s="122"/>
      <c r="P16" s="122"/>
      <c r="Q16" s="122"/>
      <c r="R16" s="122"/>
    </row>
    <row r="17" spans="5:18" ht="15.75" thickBot="1">
      <c r="E17" s="125">
        <v>2</v>
      </c>
      <c r="F17" s="122" t="s">
        <v>708</v>
      </c>
      <c r="G17" s="122"/>
      <c r="H17" s="129"/>
      <c r="I17" s="129"/>
      <c r="J17" s="129"/>
      <c r="K17" s="122"/>
      <c r="L17" s="122"/>
      <c r="M17" s="122"/>
      <c r="N17" s="122"/>
      <c r="O17" s="122"/>
      <c r="P17" s="122"/>
      <c r="Q17" s="122"/>
      <c r="R17" s="122"/>
    </row>
    <row r="18" spans="5:18" ht="15.75" thickBot="1">
      <c r="E18" s="123" t="s">
        <v>132</v>
      </c>
      <c r="F18" s="122" t="s">
        <v>706</v>
      </c>
      <c r="G18" s="122"/>
      <c r="H18" s="122"/>
      <c r="I18" s="124"/>
      <c r="J18" s="124"/>
      <c r="K18" s="122"/>
      <c r="L18" s="122"/>
      <c r="M18" s="122"/>
      <c r="N18" s="122"/>
      <c r="O18" s="122"/>
      <c r="P18" s="122"/>
      <c r="Q18" s="122"/>
      <c r="R18" s="122"/>
    </row>
    <row r="19" spans="5:18" ht="15.75" thickBot="1">
      <c r="E19" s="125">
        <v>1</v>
      </c>
      <c r="F19" s="122" t="s">
        <v>707</v>
      </c>
      <c r="G19" s="122"/>
      <c r="H19" s="122"/>
      <c r="I19" s="124"/>
      <c r="J19" s="130"/>
      <c r="K19" s="122"/>
      <c r="L19" s="122"/>
      <c r="M19" s="122"/>
      <c r="N19" s="122"/>
      <c r="O19" s="122"/>
      <c r="P19" s="122"/>
      <c r="Q19" s="122"/>
      <c r="R19" s="122"/>
    </row>
    <row r="20" spans="5:18" ht="15.75" thickBot="1">
      <c r="E20" s="125">
        <v>2</v>
      </c>
      <c r="F20" s="122"/>
      <c r="G20" s="122"/>
      <c r="H20" s="122"/>
      <c r="I20" s="122"/>
      <c r="J20" s="122"/>
      <c r="K20" s="122"/>
      <c r="L20" s="122"/>
      <c r="M20" s="122"/>
      <c r="N20" s="122"/>
      <c r="O20" s="122"/>
      <c r="P20" s="122"/>
      <c r="Q20" s="122"/>
      <c r="R20" s="122"/>
    </row>
  </sheetData>
  <mergeCells count="5">
    <mergeCell ref="E7:E8"/>
    <mergeCell ref="F7:F8"/>
    <mergeCell ref="G7:J7"/>
    <mergeCell ref="K7:N7"/>
    <mergeCell ref="O7:R7"/>
  </mergeCells>
  <pageMargins left="0.7" right="0.7" top="0.75" bottom="0.75" header="0.3" footer="0.3"/>
  <pageSetup paperSize="9" scale="62" orientation="portrait" horizontalDpi="4294967293" r:id="rId1"/>
</worksheet>
</file>

<file path=xl/worksheets/sheet2.xml><?xml version="1.0" encoding="utf-8"?>
<worksheet xmlns="http://schemas.openxmlformats.org/spreadsheetml/2006/main" xmlns:r="http://schemas.openxmlformats.org/officeDocument/2006/relationships">
  <dimension ref="A2:M33"/>
  <sheetViews>
    <sheetView view="pageBreakPreview" zoomScale="90" zoomScaleSheetLayoutView="90" workbookViewId="0">
      <selection activeCell="D33" sqref="D33"/>
    </sheetView>
  </sheetViews>
  <sheetFormatPr defaultColWidth="9" defaultRowHeight="15"/>
  <cols>
    <col min="1" max="1" width="9" style="220"/>
    <col min="2" max="2" width="4.140625" style="220" bestFit="1" customWidth="1"/>
    <col min="3" max="3" width="26.28515625" style="220" customWidth="1"/>
    <col min="4" max="4" width="15" style="220" customWidth="1"/>
    <col min="5" max="5" width="16" style="220" customWidth="1"/>
    <col min="6" max="6" width="17.85546875" style="220" customWidth="1"/>
    <col min="7" max="16384" width="9" style="220"/>
  </cols>
  <sheetData>
    <row r="2" spans="1:13">
      <c r="B2" s="415" t="s">
        <v>78</v>
      </c>
      <c r="C2" s="415"/>
      <c r="D2" s="415"/>
      <c r="E2" s="415"/>
      <c r="F2" s="415"/>
    </row>
    <row r="4" spans="1:13" ht="30">
      <c r="B4" s="101" t="s">
        <v>79</v>
      </c>
      <c r="C4" s="101" t="s">
        <v>80</v>
      </c>
      <c r="D4" s="101" t="s">
        <v>81</v>
      </c>
      <c r="E4" s="102" t="s">
        <v>82</v>
      </c>
      <c r="F4" s="102" t="s">
        <v>83</v>
      </c>
    </row>
    <row r="5" spans="1:13">
      <c r="B5" s="103">
        <v>1</v>
      </c>
      <c r="C5" s="104" t="str">
        <f>'2.Capex Details'!B2</f>
        <v>Land and Building</v>
      </c>
      <c r="D5" s="105">
        <f>'2.Capex Details'!G12</f>
        <v>5827500</v>
      </c>
      <c r="E5" s="221">
        <v>0.6</v>
      </c>
      <c r="F5" s="222">
        <f>D5*E5</f>
        <v>3496500</v>
      </c>
    </row>
    <row r="6" spans="1:13">
      <c r="B6" s="103">
        <v>2</v>
      </c>
      <c r="C6" s="104" t="str">
        <f>'2.Capex Details'!B17</f>
        <v>Machinery and Equipment</v>
      </c>
      <c r="D6" s="105">
        <f>'2.Capex Details'!G75</f>
        <v>11624000</v>
      </c>
      <c r="E6" s="221">
        <v>0.59470000000000001</v>
      </c>
      <c r="F6" s="222">
        <f t="shared" ref="F6:F10" si="0">D6*E6</f>
        <v>6912792.7999999998</v>
      </c>
    </row>
    <row r="7" spans="1:13">
      <c r="B7" s="103">
        <v>3</v>
      </c>
      <c r="C7" s="104" t="str">
        <f>'2.Capex Details'!B81</f>
        <v>Furniture and Fixture</v>
      </c>
      <c r="D7" s="105">
        <f>'2.Capex Details'!F90</f>
        <v>1050000</v>
      </c>
      <c r="E7" s="221">
        <v>0</v>
      </c>
      <c r="F7" s="222">
        <f t="shared" si="0"/>
        <v>0</v>
      </c>
    </row>
    <row r="8" spans="1:13">
      <c r="B8" s="103">
        <v>4</v>
      </c>
      <c r="C8" s="104" t="str">
        <f>'2.Capex Details'!B95</f>
        <v>IT &amp; It Infrastracture</v>
      </c>
      <c r="D8" s="105">
        <f>'2.Capex Details'!F104</f>
        <v>625000</v>
      </c>
      <c r="E8" s="221">
        <v>0</v>
      </c>
      <c r="F8" s="222">
        <f t="shared" si="0"/>
        <v>0</v>
      </c>
    </row>
    <row r="9" spans="1:13" ht="30" hidden="1">
      <c r="B9" s="103">
        <v>5</v>
      </c>
      <c r="C9" s="104" t="str">
        <f>'2.Capex Details'!B109</f>
        <v>Transport vehical  (Refer van and other)</v>
      </c>
      <c r="D9" s="105">
        <f>'2.Capex Details'!F115</f>
        <v>0</v>
      </c>
      <c r="E9" s="221">
        <v>0.6</v>
      </c>
      <c r="F9" s="222">
        <f t="shared" si="0"/>
        <v>0</v>
      </c>
    </row>
    <row r="10" spans="1:13">
      <c r="B10" s="103">
        <v>5</v>
      </c>
      <c r="C10" s="104" t="str">
        <f>'2.Capex Details'!B119</f>
        <v>Preliminary Expenses</v>
      </c>
      <c r="D10" s="105">
        <f>'2.Capex Details'!D127</f>
        <v>923000</v>
      </c>
      <c r="E10" s="221">
        <v>0.56399999999999995</v>
      </c>
      <c r="F10" s="222">
        <f t="shared" si="0"/>
        <v>520571.99999999994</v>
      </c>
      <c r="L10" s="220" t="s">
        <v>84</v>
      </c>
    </row>
    <row r="11" spans="1:13">
      <c r="B11" s="103">
        <v>6</v>
      </c>
      <c r="C11" s="104" t="s">
        <v>85</v>
      </c>
      <c r="D11" s="105">
        <f>'5.Closing Stock &amp; W Capital'!E56</f>
        <v>182827.06595696235</v>
      </c>
      <c r="E11" s="223"/>
      <c r="F11" s="223"/>
    </row>
    <row r="12" spans="1:13">
      <c r="B12" s="419" t="s">
        <v>86</v>
      </c>
      <c r="C12" s="419"/>
      <c r="D12" s="106">
        <f>SUM(D5:D11)</f>
        <v>20232327.065956961</v>
      </c>
      <c r="E12" s="223"/>
      <c r="F12" s="106">
        <f>SUM(F5:F11)</f>
        <v>10929864.800000001</v>
      </c>
    </row>
    <row r="13" spans="1:13">
      <c r="D13" s="224"/>
      <c r="M13" s="220">
        <v>48</v>
      </c>
    </row>
    <row r="14" spans="1:13" ht="43.5" customHeight="1">
      <c r="A14" s="420"/>
      <c r="B14" s="420"/>
      <c r="C14" s="420"/>
      <c r="D14" s="420"/>
      <c r="E14" s="420"/>
      <c r="F14" s="420"/>
      <c r="M14" s="220">
        <v>11.64</v>
      </c>
    </row>
    <row r="15" spans="1:13">
      <c r="M15" s="220">
        <f>M13+M14</f>
        <v>59.64</v>
      </c>
    </row>
    <row r="16" spans="1:13">
      <c r="B16" s="415" t="s">
        <v>87</v>
      </c>
      <c r="C16" s="415"/>
      <c r="D16" s="415"/>
      <c r="E16" s="415"/>
      <c r="F16" s="415"/>
      <c r="M16" s="220">
        <v>19.05</v>
      </c>
    </row>
    <row r="17" spans="2:13">
      <c r="M17" s="220">
        <f>M15+M16</f>
        <v>78.69</v>
      </c>
    </row>
    <row r="18" spans="2:13" ht="30">
      <c r="B18" s="107" t="s">
        <v>741</v>
      </c>
      <c r="C18" s="101" t="s">
        <v>80</v>
      </c>
      <c r="D18" s="101" t="s">
        <v>88</v>
      </c>
      <c r="E18" s="101" t="s">
        <v>81</v>
      </c>
    </row>
    <row r="19" spans="2:13" ht="30">
      <c r="B19" s="103">
        <v>1</v>
      </c>
      <c r="C19" s="104" t="s">
        <v>89</v>
      </c>
      <c r="D19" s="108"/>
      <c r="E19" s="109">
        <f>F12</f>
        <v>10929864.800000001</v>
      </c>
      <c r="K19" s="220">
        <f>E20/D12*100</f>
        <v>51.9</v>
      </c>
    </row>
    <row r="20" spans="2:13" ht="30">
      <c r="B20" s="103">
        <v>2</v>
      </c>
      <c r="C20" s="104" t="s">
        <v>90</v>
      </c>
      <c r="D20" s="110">
        <v>0.51900000000000002</v>
      </c>
      <c r="E20" s="109">
        <f>D12*D20</f>
        <v>10500577.747231664</v>
      </c>
    </row>
    <row r="21" spans="2:13">
      <c r="B21" s="103">
        <v>3</v>
      </c>
      <c r="C21" s="104" t="s">
        <v>91</v>
      </c>
      <c r="D21" s="109"/>
      <c r="E21" s="109">
        <f>D12-E19-E20</f>
        <v>-1198115.4812747035</v>
      </c>
    </row>
    <row r="22" spans="2:13">
      <c r="B22" s="419" t="s">
        <v>86</v>
      </c>
      <c r="C22" s="419"/>
      <c r="D22" s="111"/>
      <c r="E22" s="111">
        <f>SUM(E19:E21)</f>
        <v>20232327.065956965</v>
      </c>
    </row>
    <row r="24" spans="2:13">
      <c r="B24" s="415" t="s">
        <v>92</v>
      </c>
      <c r="C24" s="415"/>
      <c r="D24" s="415"/>
      <c r="E24" s="415"/>
      <c r="F24" s="415"/>
    </row>
    <row r="26" spans="2:13">
      <c r="B26" s="416" t="s">
        <v>93</v>
      </c>
      <c r="C26" s="416"/>
      <c r="D26" s="416"/>
      <c r="E26" s="416"/>
      <c r="F26" s="416"/>
    </row>
    <row r="27" spans="2:13" ht="30">
      <c r="B27" s="112" t="s">
        <v>79</v>
      </c>
      <c r="C27" s="113" t="s">
        <v>94</v>
      </c>
      <c r="D27" s="114" t="s">
        <v>95</v>
      </c>
      <c r="E27" s="115" t="s">
        <v>96</v>
      </c>
      <c r="F27" s="417" t="s">
        <v>97</v>
      </c>
      <c r="G27" s="418"/>
    </row>
    <row r="28" spans="2:13" ht="30">
      <c r="B28" s="116">
        <v>1</v>
      </c>
      <c r="C28" s="104" t="s">
        <v>98</v>
      </c>
      <c r="D28" s="117">
        <f>'9. Financial indiacators'!C49</f>
        <v>0.52775264738155692</v>
      </c>
      <c r="E28" s="116" t="s">
        <v>99</v>
      </c>
      <c r="F28" s="118" t="s">
        <v>100</v>
      </c>
      <c r="G28" s="116" t="s">
        <v>101</v>
      </c>
    </row>
    <row r="29" spans="2:13" ht="45">
      <c r="B29" s="116">
        <v>2</v>
      </c>
      <c r="C29" s="104" t="s">
        <v>102</v>
      </c>
      <c r="D29" s="119">
        <f>'9. Financial indiacators'!C85</f>
        <v>0.15585262019150786</v>
      </c>
      <c r="E29" s="116" t="s">
        <v>99</v>
      </c>
      <c r="F29" s="118" t="s">
        <v>742</v>
      </c>
      <c r="G29" s="116" t="s">
        <v>104</v>
      </c>
    </row>
    <row r="30" spans="2:13" ht="60">
      <c r="B30" s="116">
        <v>3</v>
      </c>
      <c r="C30" s="104" t="s">
        <v>103</v>
      </c>
      <c r="D30" s="117">
        <f>'9. Financial indiacators'!C16</f>
        <v>9.8959333742137168E-2</v>
      </c>
      <c r="E30" s="116" t="s">
        <v>99</v>
      </c>
      <c r="F30" s="118" t="s">
        <v>743</v>
      </c>
      <c r="G30" s="116" t="s">
        <v>749</v>
      </c>
    </row>
    <row r="31" spans="2:13" ht="90">
      <c r="B31" s="116">
        <v>4</v>
      </c>
      <c r="C31" s="104" t="s">
        <v>105</v>
      </c>
      <c r="D31" s="120">
        <f>'9. Financial indiacators'!C73</f>
        <v>-80368.158909302205</v>
      </c>
      <c r="E31" s="116" t="s">
        <v>106</v>
      </c>
      <c r="F31" s="118" t="s">
        <v>107</v>
      </c>
      <c r="G31" s="116" t="s">
        <v>108</v>
      </c>
    </row>
    <row r="32" spans="2:13" ht="60">
      <c r="B32" s="116">
        <v>5</v>
      </c>
      <c r="C32" s="104" t="s">
        <v>109</v>
      </c>
      <c r="D32" s="121">
        <f>'9. Financial indiacators'!D101</f>
        <v>5.3088136796302887</v>
      </c>
      <c r="E32" s="116" t="s">
        <v>99</v>
      </c>
      <c r="F32" s="118" t="s">
        <v>110</v>
      </c>
      <c r="G32" s="116" t="s">
        <v>111</v>
      </c>
    </row>
    <row r="33" spans="2:7" ht="60">
      <c r="B33" s="116">
        <v>6</v>
      </c>
      <c r="C33" s="104" t="s">
        <v>112</v>
      </c>
      <c r="D33" s="121">
        <f>'9. Financial indiacators'!C116</f>
        <v>2.3745882708468651</v>
      </c>
      <c r="E33" s="116" t="s">
        <v>99</v>
      </c>
      <c r="F33" s="118" t="s">
        <v>113</v>
      </c>
      <c r="G33" s="116" t="s">
        <v>750</v>
      </c>
    </row>
  </sheetData>
  <mergeCells count="8">
    <mergeCell ref="B24:F24"/>
    <mergeCell ref="B26:F26"/>
    <mergeCell ref="F27:G27"/>
    <mergeCell ref="B2:F2"/>
    <mergeCell ref="B12:C12"/>
    <mergeCell ref="A14:F14"/>
    <mergeCell ref="B16:F16"/>
    <mergeCell ref="B22:C22"/>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2:P129"/>
  <sheetViews>
    <sheetView view="pageBreakPreview" topLeftCell="A115" zoomScale="80" workbookViewId="0">
      <selection activeCell="B12" sqref="B12:F12"/>
    </sheetView>
  </sheetViews>
  <sheetFormatPr defaultColWidth="9" defaultRowHeight="15"/>
  <cols>
    <col min="1" max="1" width="9" style="220"/>
    <col min="2" max="2" width="7.5703125" style="220" customWidth="1"/>
    <col min="3" max="3" width="41.5703125" style="220" customWidth="1"/>
    <col min="4" max="4" width="12.140625" style="220" customWidth="1"/>
    <col min="5" max="5" width="17" style="220" customWidth="1"/>
    <col min="6" max="6" width="14" style="220" customWidth="1"/>
    <col min="7" max="7" width="13.42578125" style="220" customWidth="1"/>
    <col min="8" max="8" width="11.5703125" style="220" customWidth="1"/>
    <col min="9" max="12" width="9" style="220"/>
    <col min="13" max="13" width="14.85546875" style="220" customWidth="1"/>
    <col min="14" max="15" width="9" style="220"/>
    <col min="16" max="16" width="9.5703125" style="220" bestFit="1" customWidth="1"/>
    <col min="17" max="16384" width="9" style="220"/>
  </cols>
  <sheetData>
    <row r="2" spans="1:7">
      <c r="A2" s="220">
        <v>2.1</v>
      </c>
      <c r="B2" s="415" t="s">
        <v>114</v>
      </c>
      <c r="C2" s="415"/>
      <c r="D2" s="415"/>
      <c r="E2" s="415"/>
      <c r="F2" s="415"/>
      <c r="G2" s="415"/>
    </row>
    <row r="4" spans="1:7">
      <c r="B4" s="101" t="s">
        <v>79</v>
      </c>
      <c r="C4" s="101" t="s">
        <v>80</v>
      </c>
      <c r="D4" s="101" t="s">
        <v>115</v>
      </c>
      <c r="E4" s="101" t="s">
        <v>116</v>
      </c>
      <c r="F4" s="101" t="s">
        <v>117</v>
      </c>
      <c r="G4" s="101" t="s">
        <v>81</v>
      </c>
    </row>
    <row r="5" spans="1:7">
      <c r="B5" s="191">
        <v>1</v>
      </c>
      <c r="C5" s="191" t="s">
        <v>118</v>
      </c>
      <c r="D5" s="191" t="s">
        <v>119</v>
      </c>
      <c r="E5" s="192"/>
      <c r="F5" s="193"/>
      <c r="G5" s="194" t="s">
        <v>120</v>
      </c>
    </row>
    <row r="6" spans="1:7">
      <c r="B6" s="191">
        <v>2</v>
      </c>
      <c r="C6" s="191" t="s">
        <v>714</v>
      </c>
      <c r="D6" s="191" t="s">
        <v>119</v>
      </c>
      <c r="E6" s="195">
        <v>6300</v>
      </c>
      <c r="F6" s="196">
        <v>925</v>
      </c>
      <c r="G6" s="197">
        <f>E6*F6</f>
        <v>5827500</v>
      </c>
    </row>
    <row r="7" spans="1:7" ht="14.25" hidden="1" customHeight="1">
      <c r="B7" s="191">
        <v>3</v>
      </c>
      <c r="C7" s="191"/>
      <c r="D7" s="191" t="s">
        <v>119</v>
      </c>
      <c r="E7" s="195">
        <v>0</v>
      </c>
      <c r="F7" s="196">
        <v>0</v>
      </c>
      <c r="G7" s="197">
        <f t="shared" ref="G7:G11" si="0">E7*F7</f>
        <v>0</v>
      </c>
    </row>
    <row r="8" spans="1:7" hidden="1">
      <c r="B8" s="191"/>
      <c r="C8" s="191"/>
      <c r="D8" s="198"/>
      <c r="E8" s="195"/>
      <c r="F8" s="196"/>
      <c r="G8" s="197">
        <f t="shared" si="0"/>
        <v>0</v>
      </c>
    </row>
    <row r="9" spans="1:7" hidden="1">
      <c r="B9" s="191"/>
      <c r="C9" s="191"/>
      <c r="D9" s="198"/>
      <c r="E9" s="195"/>
      <c r="F9" s="196"/>
      <c r="G9" s="197">
        <f t="shared" si="0"/>
        <v>0</v>
      </c>
    </row>
    <row r="10" spans="1:7" hidden="1">
      <c r="B10" s="191"/>
      <c r="C10" s="191"/>
      <c r="D10" s="198"/>
      <c r="E10" s="195"/>
      <c r="F10" s="196"/>
      <c r="G10" s="197">
        <f t="shared" si="0"/>
        <v>0</v>
      </c>
    </row>
    <row r="11" spans="1:7">
      <c r="B11" s="191"/>
      <c r="C11" s="191"/>
      <c r="D11" s="198"/>
      <c r="E11" s="195"/>
      <c r="F11" s="196"/>
      <c r="G11" s="197">
        <f t="shared" si="0"/>
        <v>0</v>
      </c>
    </row>
    <row r="12" spans="1:7">
      <c r="B12" s="421" t="s">
        <v>86</v>
      </c>
      <c r="C12" s="421"/>
      <c r="D12" s="421"/>
      <c r="E12" s="421"/>
      <c r="F12" s="421"/>
      <c r="G12" s="199">
        <f>SUM(G6:G11)</f>
        <v>5827500</v>
      </c>
    </row>
    <row r="13" spans="1:7" hidden="1"/>
    <row r="14" spans="1:7" hidden="1"/>
    <row r="15" spans="1:7" hidden="1">
      <c r="B15" s="415" t="s">
        <v>122</v>
      </c>
      <c r="C15" s="415"/>
      <c r="D15" s="415"/>
      <c r="E15" s="415"/>
      <c r="F15" s="415"/>
      <c r="G15" s="415"/>
    </row>
    <row r="17" spans="1:9">
      <c r="A17" s="220">
        <v>2.2000000000000002</v>
      </c>
      <c r="B17" s="415" t="s">
        <v>123</v>
      </c>
      <c r="C17" s="415"/>
      <c r="D17" s="415"/>
      <c r="E17" s="415"/>
      <c r="F17" s="415"/>
      <c r="G17" s="415"/>
      <c r="H17" s="415"/>
    </row>
    <row r="18" spans="1:9">
      <c r="B18" s="225"/>
    </row>
    <row r="19" spans="1:9">
      <c r="B19" s="101" t="s">
        <v>79</v>
      </c>
      <c r="C19" s="101" t="s">
        <v>8</v>
      </c>
      <c r="D19" s="101" t="s">
        <v>124</v>
      </c>
      <c r="E19" s="101" t="s">
        <v>125</v>
      </c>
      <c r="F19" s="101" t="s">
        <v>126</v>
      </c>
      <c r="G19" s="101" t="s">
        <v>81</v>
      </c>
      <c r="H19" s="101" t="s">
        <v>127</v>
      </c>
    </row>
    <row r="20" spans="1:9" hidden="1">
      <c r="B20" s="200"/>
      <c r="C20" s="232"/>
      <c r="D20" s="232"/>
      <c r="E20" s="232"/>
      <c r="F20" s="232"/>
      <c r="G20" s="109"/>
      <c r="H20" s="232"/>
      <c r="I20" s="276"/>
    </row>
    <row r="21" spans="1:9" hidden="1">
      <c r="B21" s="201" t="s">
        <v>17</v>
      </c>
      <c r="C21" s="177" t="s">
        <v>128</v>
      </c>
      <c r="D21" s="177"/>
      <c r="E21" s="201"/>
      <c r="F21" s="182"/>
      <c r="G21" s="109">
        <f t="shared" ref="G21:G31" si="1">E21*F21</f>
        <v>0</v>
      </c>
      <c r="H21" s="313"/>
    </row>
    <row r="22" spans="1:9" hidden="1">
      <c r="B22" s="201"/>
      <c r="C22" s="177"/>
      <c r="D22" s="177"/>
      <c r="E22" s="201"/>
      <c r="F22" s="182"/>
      <c r="G22" s="109">
        <f t="shared" si="1"/>
        <v>0</v>
      </c>
      <c r="H22" s="313"/>
    </row>
    <row r="23" spans="1:9" hidden="1">
      <c r="B23" s="201"/>
      <c r="C23" s="177"/>
      <c r="D23" s="177"/>
      <c r="E23" s="201"/>
      <c r="F23" s="182"/>
      <c r="G23" s="109">
        <f t="shared" si="1"/>
        <v>0</v>
      </c>
      <c r="H23" s="313"/>
    </row>
    <row r="24" spans="1:9" hidden="1">
      <c r="B24" s="201"/>
      <c r="C24" s="177"/>
      <c r="D24" s="177"/>
      <c r="E24" s="201"/>
      <c r="F24" s="182"/>
      <c r="G24" s="109">
        <f t="shared" si="1"/>
        <v>0</v>
      </c>
      <c r="H24" s="313"/>
    </row>
    <row r="25" spans="1:9" hidden="1">
      <c r="B25" s="201"/>
      <c r="C25" s="177"/>
      <c r="D25" s="177"/>
      <c r="E25" s="201"/>
      <c r="F25" s="182"/>
      <c r="G25" s="109">
        <f t="shared" si="1"/>
        <v>0</v>
      </c>
      <c r="H25" s="313"/>
    </row>
    <row r="26" spans="1:9" hidden="1">
      <c r="B26" s="201"/>
      <c r="C26" s="177"/>
      <c r="D26" s="177"/>
      <c r="E26" s="201"/>
      <c r="F26" s="182"/>
      <c r="G26" s="109">
        <f t="shared" si="1"/>
        <v>0</v>
      </c>
      <c r="H26" s="313"/>
    </row>
    <row r="27" spans="1:9" hidden="1">
      <c r="B27" s="201"/>
      <c r="C27" s="177"/>
      <c r="D27" s="177"/>
      <c r="E27" s="201"/>
      <c r="F27" s="182"/>
      <c r="G27" s="109">
        <f t="shared" si="1"/>
        <v>0</v>
      </c>
      <c r="H27" s="313"/>
    </row>
    <row r="28" spans="1:9" hidden="1">
      <c r="B28" s="201"/>
      <c r="C28" s="177"/>
      <c r="D28" s="177"/>
      <c r="E28" s="201"/>
      <c r="F28" s="182"/>
      <c r="G28" s="109">
        <f t="shared" si="1"/>
        <v>0</v>
      </c>
      <c r="H28" s="313"/>
    </row>
    <row r="29" spans="1:9" hidden="1">
      <c r="B29" s="201"/>
      <c r="C29" s="177"/>
      <c r="D29" s="201"/>
      <c r="E29" s="201"/>
      <c r="F29" s="182"/>
      <c r="G29" s="109">
        <f t="shared" si="1"/>
        <v>0</v>
      </c>
      <c r="H29" s="313"/>
    </row>
    <row r="30" spans="1:9" hidden="1">
      <c r="B30" s="201"/>
      <c r="C30" s="177"/>
      <c r="D30" s="201"/>
      <c r="E30" s="201"/>
      <c r="F30" s="182"/>
      <c r="G30" s="109">
        <f t="shared" si="1"/>
        <v>0</v>
      </c>
      <c r="H30" s="313"/>
    </row>
    <row r="31" spans="1:9" hidden="1">
      <c r="B31" s="201"/>
      <c r="C31" s="177"/>
      <c r="D31" s="201"/>
      <c r="E31" s="201"/>
      <c r="F31" s="182"/>
      <c r="G31" s="109">
        <f t="shared" si="1"/>
        <v>0</v>
      </c>
      <c r="H31" s="313"/>
    </row>
    <row r="32" spans="1:9" hidden="1">
      <c r="B32" s="422" t="s">
        <v>129</v>
      </c>
      <c r="C32" s="422"/>
      <c r="D32" s="201"/>
      <c r="E32" s="201"/>
      <c r="F32" s="202"/>
      <c r="G32" s="109">
        <f>SUM(G21:G31)</f>
        <v>0</v>
      </c>
      <c r="H32" s="109">
        <f>SUM(H21:H31)</f>
        <v>0</v>
      </c>
    </row>
    <row r="33" spans="2:8" hidden="1">
      <c r="B33" s="201" t="s">
        <v>59</v>
      </c>
      <c r="C33" s="177"/>
      <c r="D33" s="200"/>
      <c r="E33" s="200"/>
      <c r="F33" s="109"/>
      <c r="G33" s="109"/>
      <c r="H33" s="232"/>
    </row>
    <row r="34" spans="2:8" hidden="1">
      <c r="B34" s="200"/>
      <c r="C34" s="180"/>
      <c r="D34" s="180"/>
      <c r="E34" s="200"/>
      <c r="F34" s="109"/>
      <c r="G34" s="109">
        <f t="shared" ref="G34:G39" si="2">E34*F34</f>
        <v>0</v>
      </c>
      <c r="H34" s="232"/>
    </row>
    <row r="35" spans="2:8" hidden="1">
      <c r="B35" s="200"/>
      <c r="C35" s="180"/>
      <c r="D35" s="200"/>
      <c r="E35" s="200"/>
      <c r="F35" s="109"/>
      <c r="G35" s="109"/>
      <c r="H35" s="232">
        <v>125</v>
      </c>
    </row>
    <row r="36" spans="2:8" hidden="1">
      <c r="B36" s="200"/>
      <c r="C36" s="180"/>
      <c r="D36" s="200"/>
      <c r="E36" s="200"/>
      <c r="F36" s="109"/>
      <c r="G36" s="109">
        <f t="shared" si="2"/>
        <v>0</v>
      </c>
      <c r="H36" s="232"/>
    </row>
    <row r="37" spans="2:8" hidden="1">
      <c r="B37" s="200"/>
      <c r="C37" s="180"/>
      <c r="D37" s="200"/>
      <c r="E37" s="200"/>
      <c r="F37" s="109"/>
      <c r="G37" s="109">
        <f t="shared" si="2"/>
        <v>0</v>
      </c>
      <c r="H37" s="232"/>
    </row>
    <row r="38" spans="2:8" hidden="1">
      <c r="B38" s="200"/>
      <c r="C38" s="180"/>
      <c r="D38" s="200"/>
      <c r="E38" s="200"/>
      <c r="F38" s="109"/>
      <c r="G38" s="109">
        <f t="shared" si="2"/>
        <v>0</v>
      </c>
      <c r="H38" s="232"/>
    </row>
    <row r="39" spans="2:8" hidden="1">
      <c r="B39" s="200"/>
      <c r="C39" s="180"/>
      <c r="D39" s="200"/>
      <c r="E39" s="200"/>
      <c r="F39" s="109"/>
      <c r="G39" s="109">
        <f t="shared" si="2"/>
        <v>0</v>
      </c>
      <c r="H39" s="232"/>
    </row>
    <row r="40" spans="2:8" hidden="1">
      <c r="B40" s="200"/>
      <c r="C40" s="180"/>
      <c r="D40" s="200"/>
      <c r="E40" s="200"/>
      <c r="F40" s="109"/>
      <c r="G40" s="109">
        <f t="shared" ref="G40:G46" si="3">F40</f>
        <v>0</v>
      </c>
      <c r="H40" s="232"/>
    </row>
    <row r="41" spans="2:8" hidden="1">
      <c r="B41" s="200"/>
      <c r="C41" s="180"/>
      <c r="D41" s="200"/>
      <c r="E41" s="200"/>
      <c r="F41" s="109"/>
      <c r="G41" s="109">
        <f t="shared" si="3"/>
        <v>0</v>
      </c>
      <c r="H41" s="232"/>
    </row>
    <row r="42" spans="2:8" hidden="1">
      <c r="B42" s="200"/>
      <c r="C42" s="180"/>
      <c r="D42" s="200"/>
      <c r="E42" s="200"/>
      <c r="F42" s="109"/>
      <c r="G42" s="109">
        <f t="shared" si="3"/>
        <v>0</v>
      </c>
      <c r="H42" s="232"/>
    </row>
    <row r="43" spans="2:8" hidden="1">
      <c r="B43" s="200"/>
      <c r="C43" s="180"/>
      <c r="D43" s="200"/>
      <c r="E43" s="200"/>
      <c r="F43" s="109"/>
      <c r="G43" s="109">
        <f t="shared" si="3"/>
        <v>0</v>
      </c>
      <c r="H43" s="232"/>
    </row>
    <row r="44" spans="2:8" hidden="1">
      <c r="B44" s="200"/>
      <c r="C44" s="180"/>
      <c r="D44" s="200"/>
      <c r="E44" s="200"/>
      <c r="F44" s="109"/>
      <c r="G44" s="109">
        <f t="shared" si="3"/>
        <v>0</v>
      </c>
      <c r="H44" s="232"/>
    </row>
    <row r="45" spans="2:8" hidden="1">
      <c r="B45" s="200"/>
      <c r="C45" s="180"/>
      <c r="D45" s="200"/>
      <c r="E45" s="200"/>
      <c r="F45" s="109"/>
      <c r="G45" s="109">
        <f t="shared" si="3"/>
        <v>0</v>
      </c>
      <c r="H45" s="232"/>
    </row>
    <row r="46" spans="2:8" hidden="1">
      <c r="B46" s="200"/>
      <c r="C46" s="180"/>
      <c r="D46" s="200"/>
      <c r="E46" s="200"/>
      <c r="F46" s="109"/>
      <c r="G46" s="109">
        <f t="shared" si="3"/>
        <v>0</v>
      </c>
      <c r="H46" s="232"/>
    </row>
    <row r="47" spans="2:8" hidden="1">
      <c r="B47" s="422" t="s">
        <v>129</v>
      </c>
      <c r="C47" s="422"/>
      <c r="D47" s="201"/>
      <c r="E47" s="201"/>
      <c r="F47" s="202"/>
      <c r="G47" s="202">
        <f>SUM(G34:G46)</f>
        <v>0</v>
      </c>
      <c r="H47" s="202">
        <v>0</v>
      </c>
    </row>
    <row r="48" spans="2:8" hidden="1">
      <c r="B48" s="200"/>
      <c r="C48" s="180"/>
      <c r="D48" s="200"/>
      <c r="E48" s="200"/>
      <c r="F48" s="109"/>
      <c r="G48" s="109"/>
      <c r="H48" s="232"/>
    </row>
    <row r="49" spans="2:8" hidden="1">
      <c r="B49" s="201" t="s">
        <v>130</v>
      </c>
      <c r="C49" s="177" t="s">
        <v>131</v>
      </c>
      <c r="D49" s="200"/>
      <c r="E49" s="200"/>
      <c r="F49" s="109"/>
      <c r="G49" s="109">
        <f t="shared" ref="G49:G54" si="4">E49*F49</f>
        <v>0</v>
      </c>
      <c r="H49" s="232"/>
    </row>
    <row r="50" spans="2:8" hidden="1">
      <c r="B50" s="201"/>
      <c r="C50" s="177"/>
      <c r="D50" s="200"/>
      <c r="E50" s="200"/>
      <c r="F50" s="109"/>
      <c r="G50" s="109">
        <f t="shared" si="4"/>
        <v>0</v>
      </c>
      <c r="H50" s="232"/>
    </row>
    <row r="51" spans="2:8" hidden="1">
      <c r="B51" s="201"/>
      <c r="C51" s="177"/>
      <c r="D51" s="180"/>
      <c r="E51" s="200"/>
      <c r="F51" s="109"/>
      <c r="G51" s="109">
        <f t="shared" si="4"/>
        <v>0</v>
      </c>
      <c r="H51" s="232"/>
    </row>
    <row r="52" spans="2:8" hidden="1">
      <c r="B52" s="201"/>
      <c r="C52" s="177"/>
      <c r="D52" s="180"/>
      <c r="E52" s="200"/>
      <c r="F52" s="109"/>
      <c r="G52" s="109">
        <f t="shared" si="4"/>
        <v>0</v>
      </c>
      <c r="H52" s="232"/>
    </row>
    <row r="53" spans="2:8" hidden="1">
      <c r="B53" s="201"/>
      <c r="C53" s="177"/>
      <c r="D53" s="180"/>
      <c r="E53" s="200"/>
      <c r="F53" s="109"/>
      <c r="G53" s="109">
        <f t="shared" si="4"/>
        <v>0</v>
      </c>
      <c r="H53" s="232"/>
    </row>
    <row r="54" spans="2:8" hidden="1">
      <c r="B54" s="201"/>
      <c r="C54" s="177"/>
      <c r="D54" s="180"/>
      <c r="E54" s="200"/>
      <c r="F54" s="109"/>
      <c r="G54" s="109">
        <f t="shared" si="4"/>
        <v>0</v>
      </c>
      <c r="H54" s="232"/>
    </row>
    <row r="55" spans="2:8" hidden="1">
      <c r="B55" s="422" t="s">
        <v>129</v>
      </c>
      <c r="C55" s="422"/>
      <c r="D55" s="180"/>
      <c r="E55" s="200"/>
      <c r="F55" s="109"/>
      <c r="G55" s="109">
        <f>SUM(G49:G54)</f>
        <v>0</v>
      </c>
      <c r="H55" s="109">
        <f>SUM(H49:H54)</f>
        <v>0</v>
      </c>
    </row>
    <row r="56" spans="2:8" hidden="1">
      <c r="B56" s="201"/>
      <c r="C56" s="201"/>
      <c r="D56" s="180"/>
      <c r="E56" s="200"/>
      <c r="F56" s="109"/>
      <c r="G56" s="109"/>
      <c r="H56" s="109"/>
    </row>
    <row r="57" spans="2:8">
      <c r="B57" s="201" t="s">
        <v>17</v>
      </c>
      <c r="C57" s="201" t="s">
        <v>133</v>
      </c>
      <c r="D57" s="180"/>
      <c r="E57" s="200"/>
      <c r="F57" s="109"/>
      <c r="G57" s="109">
        <f>E57*F57</f>
        <v>0</v>
      </c>
      <c r="H57" s="109"/>
    </row>
    <row r="58" spans="2:8" ht="30">
      <c r="B58" s="201"/>
      <c r="C58" s="177" t="s">
        <v>748</v>
      </c>
      <c r="D58" s="200"/>
      <c r="E58" s="200"/>
      <c r="F58" s="109"/>
      <c r="G58" s="109"/>
      <c r="H58" s="232">
        <v>100</v>
      </c>
    </row>
    <row r="59" spans="2:8">
      <c r="B59" s="200">
        <v>1</v>
      </c>
      <c r="C59" s="180" t="s">
        <v>728</v>
      </c>
      <c r="D59" s="200"/>
      <c r="E59" s="200">
        <v>2</v>
      </c>
      <c r="F59" s="109">
        <v>450000</v>
      </c>
      <c r="G59" s="109">
        <f t="shared" ref="G59:G67" si="5">F59*1.18*E59</f>
        <v>1062000</v>
      </c>
      <c r="H59" s="232"/>
    </row>
    <row r="60" spans="2:8">
      <c r="B60" s="200">
        <f>B59+1</f>
        <v>2</v>
      </c>
      <c r="C60" s="180" t="s">
        <v>715</v>
      </c>
      <c r="D60" s="200"/>
      <c r="E60" s="200">
        <v>3</v>
      </c>
      <c r="F60" s="109">
        <v>700000</v>
      </c>
      <c r="G60" s="109">
        <f t="shared" si="5"/>
        <v>2478000</v>
      </c>
      <c r="H60" s="232"/>
    </row>
    <row r="61" spans="2:8">
      <c r="B61" s="200">
        <f t="shared" ref="B61:B72" si="6">B60+1</f>
        <v>3</v>
      </c>
      <c r="C61" s="180" t="s">
        <v>716</v>
      </c>
      <c r="D61" s="200"/>
      <c r="E61" s="200">
        <v>2</v>
      </c>
      <c r="F61" s="109">
        <v>300000</v>
      </c>
      <c r="G61" s="109">
        <f t="shared" si="5"/>
        <v>708000</v>
      </c>
      <c r="H61" s="232"/>
    </row>
    <row r="62" spans="2:8">
      <c r="B62" s="200">
        <f t="shared" si="6"/>
        <v>4</v>
      </c>
      <c r="C62" s="180" t="s">
        <v>717</v>
      </c>
      <c r="D62" s="200"/>
      <c r="E62" s="200">
        <v>1</v>
      </c>
      <c r="F62" s="109">
        <v>500000</v>
      </c>
      <c r="G62" s="109">
        <f t="shared" si="5"/>
        <v>590000</v>
      </c>
      <c r="H62" s="232"/>
    </row>
    <row r="63" spans="2:8">
      <c r="B63" s="200">
        <f t="shared" si="6"/>
        <v>5</v>
      </c>
      <c r="C63" s="180" t="s">
        <v>718</v>
      </c>
      <c r="D63" s="200"/>
      <c r="E63" s="200">
        <v>1</v>
      </c>
      <c r="F63" s="109">
        <v>300000</v>
      </c>
      <c r="G63" s="109">
        <f t="shared" si="5"/>
        <v>354000</v>
      </c>
      <c r="H63" s="232"/>
    </row>
    <row r="64" spans="2:8">
      <c r="B64" s="200">
        <f t="shared" si="6"/>
        <v>6</v>
      </c>
      <c r="C64" s="180" t="s">
        <v>719</v>
      </c>
      <c r="D64" s="200"/>
      <c r="E64" s="200">
        <v>2</v>
      </c>
      <c r="F64" s="109">
        <v>300000</v>
      </c>
      <c r="G64" s="109">
        <f t="shared" si="5"/>
        <v>708000</v>
      </c>
      <c r="H64" s="232"/>
    </row>
    <row r="65" spans="2:11">
      <c r="B65" s="200">
        <f t="shared" si="6"/>
        <v>7</v>
      </c>
      <c r="C65" s="180" t="s">
        <v>720</v>
      </c>
      <c r="D65" s="200"/>
      <c r="E65" s="200">
        <v>1</v>
      </c>
      <c r="F65" s="109">
        <v>200000</v>
      </c>
      <c r="G65" s="109">
        <f t="shared" si="5"/>
        <v>236000</v>
      </c>
      <c r="H65" s="232"/>
    </row>
    <row r="66" spans="2:11">
      <c r="B66" s="200">
        <f t="shared" si="6"/>
        <v>8</v>
      </c>
      <c r="C66" s="180" t="s">
        <v>721</v>
      </c>
      <c r="D66" s="200"/>
      <c r="E66" s="200">
        <v>2</v>
      </c>
      <c r="F66" s="109">
        <v>400000</v>
      </c>
      <c r="G66" s="109">
        <f t="shared" si="5"/>
        <v>944000</v>
      </c>
      <c r="H66" s="232"/>
    </row>
    <row r="67" spans="2:11">
      <c r="B67" s="200">
        <f t="shared" si="6"/>
        <v>9</v>
      </c>
      <c r="C67" s="180" t="s">
        <v>722</v>
      </c>
      <c r="D67" s="200"/>
      <c r="E67" s="200">
        <v>1</v>
      </c>
      <c r="F67" s="109">
        <v>2400000</v>
      </c>
      <c r="G67" s="109">
        <f t="shared" si="5"/>
        <v>2832000</v>
      </c>
      <c r="H67" s="232"/>
    </row>
    <row r="68" spans="2:11">
      <c r="B68" s="200">
        <f t="shared" si="6"/>
        <v>10</v>
      </c>
      <c r="C68" s="180" t="s">
        <v>723</v>
      </c>
      <c r="D68" s="200"/>
      <c r="E68" s="200">
        <v>1</v>
      </c>
      <c r="F68" s="109">
        <v>900000</v>
      </c>
      <c r="G68" s="109">
        <f>F68*1.05*E68</f>
        <v>945000</v>
      </c>
      <c r="H68" s="232"/>
    </row>
    <row r="69" spans="2:11">
      <c r="B69" s="200">
        <f t="shared" si="6"/>
        <v>11</v>
      </c>
      <c r="C69" s="180" t="s">
        <v>724</v>
      </c>
      <c r="D69" s="200"/>
      <c r="E69" s="200">
        <v>1</v>
      </c>
      <c r="F69" s="109">
        <v>100000</v>
      </c>
      <c r="G69" s="109">
        <f>F69*1.18*E69</f>
        <v>118000</v>
      </c>
      <c r="H69" s="232"/>
    </row>
    <row r="70" spans="2:11">
      <c r="B70" s="200">
        <f t="shared" si="6"/>
        <v>12</v>
      </c>
      <c r="C70" s="180" t="s">
        <v>725</v>
      </c>
      <c r="D70" s="200"/>
      <c r="E70" s="200">
        <v>1</v>
      </c>
      <c r="F70" s="109">
        <v>400000</v>
      </c>
      <c r="G70" s="109">
        <f>F70*1.18*E70</f>
        <v>472000</v>
      </c>
      <c r="H70" s="232"/>
    </row>
    <row r="71" spans="2:11">
      <c r="B71" s="200">
        <f t="shared" si="6"/>
        <v>13</v>
      </c>
      <c r="C71" s="180" t="s">
        <v>726</v>
      </c>
      <c r="D71" s="200"/>
      <c r="E71" s="200">
        <v>10</v>
      </c>
      <c r="F71" s="109">
        <v>5000</v>
      </c>
      <c r="G71" s="109">
        <f>F71*1.18*E71</f>
        <v>59000</v>
      </c>
      <c r="H71" s="232"/>
    </row>
    <row r="72" spans="2:11">
      <c r="B72" s="200">
        <f t="shared" si="6"/>
        <v>14</v>
      </c>
      <c r="C72" s="180" t="s">
        <v>727</v>
      </c>
      <c r="D72" s="200"/>
      <c r="E72" s="200">
        <v>1</v>
      </c>
      <c r="F72" s="109">
        <v>100000</v>
      </c>
      <c r="G72" s="109">
        <f>F72*1.18*E72</f>
        <v>118000</v>
      </c>
      <c r="H72" s="232"/>
    </row>
    <row r="73" spans="2:11">
      <c r="B73" s="422" t="s">
        <v>129</v>
      </c>
      <c r="C73" s="422"/>
      <c r="D73" s="180"/>
      <c r="E73" s="200"/>
      <c r="F73" s="109"/>
      <c r="G73" s="202">
        <f>SUM(G57:G72)</f>
        <v>11624000</v>
      </c>
      <c r="H73" s="202">
        <f>SUM(H57:H72)</f>
        <v>100</v>
      </c>
    </row>
    <row r="74" spans="2:11">
      <c r="B74" s="200"/>
      <c r="C74" s="180"/>
      <c r="D74" s="180"/>
      <c r="E74" s="200"/>
      <c r="F74" s="109"/>
      <c r="G74" s="109"/>
      <c r="H74" s="232"/>
    </row>
    <row r="75" spans="2:11">
      <c r="B75" s="422" t="s">
        <v>86</v>
      </c>
      <c r="C75" s="422"/>
      <c r="D75" s="422"/>
      <c r="E75" s="422"/>
      <c r="F75" s="422"/>
      <c r="G75" s="202">
        <f>G55+G47+G32+G73</f>
        <v>11624000</v>
      </c>
      <c r="H75" s="202">
        <f>H47+H21+H55+H73</f>
        <v>100</v>
      </c>
    </row>
    <row r="76" spans="2:11">
      <c r="B76" s="225"/>
      <c r="G76" s="395"/>
    </row>
    <row r="77" spans="2:11" hidden="1">
      <c r="B77" s="415" t="s">
        <v>134</v>
      </c>
      <c r="C77" s="415"/>
      <c r="D77" s="415"/>
      <c r="E77" s="415"/>
      <c r="F77" s="415"/>
      <c r="G77" s="415"/>
      <c r="H77" s="415"/>
    </row>
    <row r="78" spans="2:11" hidden="1">
      <c r="B78" s="225"/>
      <c r="G78" s="395"/>
      <c r="I78" s="225"/>
      <c r="J78" s="225"/>
      <c r="K78" s="396"/>
    </row>
    <row r="79" spans="2:11" hidden="1"/>
    <row r="81" spans="1:16">
      <c r="A81" s="220">
        <v>2.2999999999999998</v>
      </c>
      <c r="B81" s="415" t="s">
        <v>135</v>
      </c>
      <c r="C81" s="415"/>
      <c r="D81" s="415"/>
      <c r="E81" s="415"/>
      <c r="F81" s="415"/>
    </row>
    <row r="83" spans="1:16" ht="30">
      <c r="B83" s="107" t="s">
        <v>79</v>
      </c>
      <c r="C83" s="101" t="s">
        <v>80</v>
      </c>
      <c r="D83" s="101" t="s">
        <v>125</v>
      </c>
      <c r="E83" s="101" t="s">
        <v>126</v>
      </c>
      <c r="F83" s="101" t="s">
        <v>81</v>
      </c>
    </row>
    <row r="84" spans="1:16">
      <c r="B84" s="200">
        <v>1</v>
      </c>
      <c r="C84" s="180" t="s">
        <v>740</v>
      </c>
      <c r="D84" s="200">
        <v>1</v>
      </c>
      <c r="E84" s="203">
        <v>1050000</v>
      </c>
      <c r="F84" s="109">
        <f t="shared" ref="F84:F89" si="7">D84*E84</f>
        <v>1050000</v>
      </c>
      <c r="P84" s="224">
        <f>F90-625600</f>
        <v>424400</v>
      </c>
    </row>
    <row r="85" spans="1:16">
      <c r="B85" s="200"/>
      <c r="C85" s="180"/>
      <c r="D85" s="200"/>
      <c r="E85" s="203"/>
      <c r="F85" s="109">
        <f t="shared" si="7"/>
        <v>0</v>
      </c>
    </row>
    <row r="86" spans="1:16" hidden="1">
      <c r="B86" s="204"/>
      <c r="C86" s="205"/>
      <c r="D86" s="204"/>
      <c r="E86" s="206"/>
      <c r="F86" s="207">
        <f t="shared" si="7"/>
        <v>0</v>
      </c>
    </row>
    <row r="87" spans="1:16" hidden="1">
      <c r="B87" s="204"/>
      <c r="C87" s="205"/>
      <c r="D87" s="204"/>
      <c r="E87" s="206"/>
      <c r="F87" s="207">
        <f t="shared" si="7"/>
        <v>0</v>
      </c>
    </row>
    <row r="88" spans="1:16" hidden="1">
      <c r="B88" s="204"/>
      <c r="C88" s="205"/>
      <c r="D88" s="204"/>
      <c r="E88" s="206"/>
      <c r="F88" s="207">
        <f t="shared" si="7"/>
        <v>0</v>
      </c>
    </row>
    <row r="89" spans="1:16">
      <c r="B89" s="200"/>
      <c r="C89" s="180"/>
      <c r="D89" s="200"/>
      <c r="E89" s="203"/>
      <c r="F89" s="109">
        <f t="shared" si="7"/>
        <v>0</v>
      </c>
    </row>
    <row r="90" spans="1:16">
      <c r="B90" s="419" t="s">
        <v>86</v>
      </c>
      <c r="C90" s="419"/>
      <c r="D90" s="419"/>
      <c r="E90" s="419"/>
      <c r="F90" s="111">
        <f>SUM(F84:F89)</f>
        <v>1050000</v>
      </c>
    </row>
    <row r="91" spans="1:16" hidden="1"/>
    <row r="92" spans="1:16" hidden="1">
      <c r="A92" s="415" t="s">
        <v>136</v>
      </c>
      <c r="B92" s="415"/>
      <c r="C92" s="415"/>
      <c r="D92" s="415"/>
      <c r="E92" s="415"/>
      <c r="F92" s="415"/>
      <c r="G92" s="415"/>
    </row>
    <row r="93" spans="1:16" hidden="1"/>
    <row r="94" spans="1:16" hidden="1"/>
    <row r="95" spans="1:16">
      <c r="A95" s="220">
        <v>2.4</v>
      </c>
      <c r="B95" s="415" t="s">
        <v>137</v>
      </c>
      <c r="C95" s="415"/>
      <c r="D95" s="415"/>
      <c r="E95" s="415"/>
      <c r="F95" s="415"/>
    </row>
    <row r="97" spans="1:7" ht="30">
      <c r="B97" s="107" t="s">
        <v>79</v>
      </c>
      <c r="C97" s="101" t="s">
        <v>80</v>
      </c>
      <c r="D97" s="101" t="s">
        <v>125</v>
      </c>
      <c r="E97" s="101" t="s">
        <v>126</v>
      </c>
      <c r="F97" s="101" t="s">
        <v>81</v>
      </c>
    </row>
    <row r="98" spans="1:7">
      <c r="B98" s="200">
        <v>1</v>
      </c>
      <c r="C98" s="180" t="s">
        <v>138</v>
      </c>
      <c r="D98" s="200">
        <v>1</v>
      </c>
      <c r="E98" s="203">
        <v>625000</v>
      </c>
      <c r="F98" s="109">
        <f t="shared" ref="F98:F103" si="8">D98*E98</f>
        <v>625000</v>
      </c>
    </row>
    <row r="99" spans="1:7" hidden="1">
      <c r="B99" s="200"/>
      <c r="C99" s="180"/>
      <c r="D99" s="200"/>
      <c r="E99" s="203"/>
      <c r="F99" s="109">
        <f t="shared" si="8"/>
        <v>0</v>
      </c>
    </row>
    <row r="100" spans="1:7" hidden="1">
      <c r="B100" s="200"/>
      <c r="C100" s="180"/>
      <c r="D100" s="200"/>
      <c r="E100" s="203"/>
      <c r="F100" s="109">
        <f t="shared" si="8"/>
        <v>0</v>
      </c>
    </row>
    <row r="101" spans="1:7" hidden="1">
      <c r="B101" s="200"/>
      <c r="C101" s="180"/>
      <c r="D101" s="200"/>
      <c r="E101" s="203"/>
      <c r="F101" s="109">
        <f t="shared" si="8"/>
        <v>0</v>
      </c>
    </row>
    <row r="102" spans="1:7" hidden="1">
      <c r="B102" s="200"/>
      <c r="C102" s="180"/>
      <c r="D102" s="200"/>
      <c r="E102" s="203"/>
      <c r="F102" s="109">
        <f t="shared" si="8"/>
        <v>0</v>
      </c>
    </row>
    <row r="103" spans="1:7">
      <c r="B103" s="200"/>
      <c r="C103" s="180"/>
      <c r="D103" s="200"/>
      <c r="E103" s="203"/>
      <c r="F103" s="109">
        <f t="shared" si="8"/>
        <v>0</v>
      </c>
    </row>
    <row r="104" spans="1:7">
      <c r="B104" s="419" t="s">
        <v>86</v>
      </c>
      <c r="C104" s="419"/>
      <c r="D104" s="419"/>
      <c r="E104" s="419"/>
      <c r="F104" s="111">
        <f>SUM(F98:F103)</f>
        <v>625000</v>
      </c>
    </row>
    <row r="106" spans="1:7" hidden="1">
      <c r="A106" s="415" t="s">
        <v>136</v>
      </c>
      <c r="B106" s="415"/>
      <c r="C106" s="415"/>
      <c r="D106" s="415"/>
      <c r="E106" s="415"/>
      <c r="F106" s="415"/>
      <c r="G106" s="415"/>
    </row>
    <row r="107" spans="1:7" hidden="1"/>
    <row r="108" spans="1:7" hidden="1"/>
    <row r="109" spans="1:7">
      <c r="A109" s="220">
        <v>2.5</v>
      </c>
      <c r="B109" s="415" t="s">
        <v>139</v>
      </c>
      <c r="C109" s="415"/>
      <c r="D109" s="415"/>
      <c r="E109" s="415"/>
      <c r="F109" s="415"/>
    </row>
    <row r="111" spans="1:7" ht="30">
      <c r="B111" s="107" t="s">
        <v>79</v>
      </c>
      <c r="C111" s="101" t="s">
        <v>80</v>
      </c>
      <c r="D111" s="101" t="s">
        <v>125</v>
      </c>
      <c r="E111" s="101" t="s">
        <v>126</v>
      </c>
      <c r="F111" s="101" t="s">
        <v>81</v>
      </c>
    </row>
    <row r="112" spans="1:7">
      <c r="B112" s="200">
        <v>1</v>
      </c>
      <c r="C112" s="180"/>
      <c r="D112" s="200"/>
      <c r="E112" s="203"/>
      <c r="F112" s="109">
        <f>E112*D112</f>
        <v>0</v>
      </c>
    </row>
    <row r="113" spans="1:13" hidden="1">
      <c r="B113" s="200"/>
      <c r="C113" s="180"/>
      <c r="D113" s="200"/>
      <c r="E113" s="203"/>
      <c r="F113" s="109">
        <f>E113*D113</f>
        <v>0</v>
      </c>
    </row>
    <row r="114" spans="1:13">
      <c r="B114" s="200"/>
      <c r="C114" s="180"/>
      <c r="D114" s="200"/>
      <c r="E114" s="203"/>
      <c r="F114" s="109">
        <f>E114*D114</f>
        <v>0</v>
      </c>
    </row>
    <row r="115" spans="1:13">
      <c r="B115" s="419" t="s">
        <v>86</v>
      </c>
      <c r="C115" s="419"/>
      <c r="D115" s="419"/>
      <c r="E115" s="419"/>
      <c r="F115" s="111">
        <f>SUM(F112:F114)</f>
        <v>0</v>
      </c>
    </row>
    <row r="116" spans="1:13" hidden="1">
      <c r="A116" s="424" t="s">
        <v>140</v>
      </c>
      <c r="B116" s="424"/>
      <c r="C116" s="424"/>
      <c r="D116" s="424"/>
      <c r="E116" s="424"/>
      <c r="F116" s="424"/>
      <c r="G116" s="424"/>
    </row>
    <row r="117" spans="1:13" hidden="1"/>
    <row r="119" spans="1:13">
      <c r="A119" s="220">
        <v>2.6</v>
      </c>
      <c r="B119" s="415" t="s">
        <v>141</v>
      </c>
      <c r="C119" s="415"/>
      <c r="D119" s="415"/>
    </row>
    <row r="121" spans="1:13" ht="30">
      <c r="B121" s="107" t="s">
        <v>79</v>
      </c>
      <c r="C121" s="101" t="s">
        <v>80</v>
      </c>
      <c r="D121" s="101" t="s">
        <v>142</v>
      </c>
    </row>
    <row r="122" spans="1:13">
      <c r="B122" s="208">
        <v>1</v>
      </c>
      <c r="C122" s="180" t="s">
        <v>695</v>
      </c>
      <c r="D122" s="109">
        <v>564315</v>
      </c>
    </row>
    <row r="123" spans="1:13">
      <c r="B123" s="208">
        <v>2</v>
      </c>
      <c r="C123" s="180" t="s">
        <v>713</v>
      </c>
      <c r="D123" s="109">
        <v>358685</v>
      </c>
    </row>
    <row r="124" spans="1:13">
      <c r="B124" s="208">
        <v>3</v>
      </c>
      <c r="C124" s="180"/>
      <c r="D124" s="109"/>
      <c r="M124" s="220">
        <v>923000</v>
      </c>
    </row>
    <row r="125" spans="1:13">
      <c r="B125" s="208"/>
      <c r="C125" s="180"/>
      <c r="D125" s="109"/>
    </row>
    <row r="126" spans="1:13">
      <c r="B126" s="208"/>
      <c r="C126" s="180"/>
      <c r="D126" s="109"/>
      <c r="M126" s="224">
        <f>M124-D123</f>
        <v>564315</v>
      </c>
    </row>
    <row r="127" spans="1:13">
      <c r="B127" s="422" t="s">
        <v>86</v>
      </c>
      <c r="C127" s="422"/>
      <c r="D127" s="202">
        <f>SUM(D122:D126)</f>
        <v>923000</v>
      </c>
    </row>
    <row r="129" spans="1:5" ht="26.1" hidden="1" customHeight="1">
      <c r="A129" s="423" t="s">
        <v>143</v>
      </c>
      <c r="B129" s="423"/>
      <c r="C129" s="423"/>
      <c r="D129" s="423"/>
      <c r="E129" s="423"/>
    </row>
  </sheetData>
  <mergeCells count="22">
    <mergeCell ref="B127:C127"/>
    <mergeCell ref="A129:E129"/>
    <mergeCell ref="A106:G106"/>
    <mergeCell ref="B109:F109"/>
    <mergeCell ref="B115:E115"/>
    <mergeCell ref="A116:G116"/>
    <mergeCell ref="B119:D119"/>
    <mergeCell ref="B81:F81"/>
    <mergeCell ref="B90:E90"/>
    <mergeCell ref="A92:G92"/>
    <mergeCell ref="B95:F95"/>
    <mergeCell ref="B104:E104"/>
    <mergeCell ref="B47:C47"/>
    <mergeCell ref="B55:C55"/>
    <mergeCell ref="B73:C73"/>
    <mergeCell ref="B75:F75"/>
    <mergeCell ref="B77:H77"/>
    <mergeCell ref="B2:G2"/>
    <mergeCell ref="B12:F12"/>
    <mergeCell ref="B15:G15"/>
    <mergeCell ref="B17:H17"/>
    <mergeCell ref="B32:C32"/>
  </mergeCells>
  <pageMargins left="0.7" right="0.7" top="0.75" bottom="0.75" header="0.3" footer="0.3"/>
  <pageSetup paperSize="9" scale="69" orientation="portrait" r:id="rId1"/>
  <rowBreaks count="1" manualBreakCount="1">
    <brk id="78" max="7" man="1"/>
  </rowBreaks>
</worksheet>
</file>

<file path=xl/worksheets/sheet4.xml><?xml version="1.0" encoding="utf-8"?>
<worksheet xmlns="http://schemas.openxmlformats.org/spreadsheetml/2006/main" xmlns:r="http://schemas.openxmlformats.org/officeDocument/2006/relationships">
  <dimension ref="A2:Q104"/>
  <sheetViews>
    <sheetView topLeftCell="A96" zoomScaleSheetLayoutView="80" workbookViewId="0">
      <selection activeCell="A43" sqref="A43"/>
    </sheetView>
  </sheetViews>
  <sheetFormatPr defaultColWidth="9" defaultRowHeight="15"/>
  <cols>
    <col min="1" max="1" width="40.140625" style="220" bestFit="1" customWidth="1"/>
    <col min="2" max="2" width="14.5703125" style="220" bestFit="1" customWidth="1"/>
    <col min="3" max="9" width="12.28515625" style="220" bestFit="1" customWidth="1"/>
    <col min="10" max="10" width="10.5703125" style="220" bestFit="1" customWidth="1"/>
    <col min="11" max="17" width="12.28515625" style="220" bestFit="1" customWidth="1"/>
    <col min="18" max="16384" width="9" style="220"/>
  </cols>
  <sheetData>
    <row r="2" spans="1:11">
      <c r="A2" s="416" t="s">
        <v>144</v>
      </c>
      <c r="B2" s="416"/>
      <c r="C2" s="416"/>
      <c r="D2" s="416"/>
      <c r="E2" s="416"/>
      <c r="F2" s="416"/>
      <c r="G2" s="416"/>
      <c r="H2" s="416"/>
      <c r="I2" s="416"/>
      <c r="J2" s="416"/>
      <c r="K2" s="416"/>
    </row>
    <row r="4" spans="1:11">
      <c r="E4" s="254">
        <v>1</v>
      </c>
      <c r="F4" s="265">
        <f>(E4*5%)+E4</f>
        <v>1.05</v>
      </c>
      <c r="G4" s="265">
        <f t="shared" ref="G4:K4" si="0">(F4*5%)+F4</f>
        <v>1.1025</v>
      </c>
      <c r="H4" s="265">
        <f t="shared" si="0"/>
        <v>1.1576250000000001</v>
      </c>
      <c r="I4" s="265">
        <f t="shared" si="0"/>
        <v>1.2155062500000002</v>
      </c>
      <c r="J4" s="265">
        <f t="shared" si="0"/>
        <v>1.2762815625000004</v>
      </c>
      <c r="K4" s="265">
        <f t="shared" si="0"/>
        <v>1.3400956406250004</v>
      </c>
    </row>
    <row r="6" spans="1:11">
      <c r="A6" s="246" t="s">
        <v>145</v>
      </c>
      <c r="B6" s="246" t="s">
        <v>115</v>
      </c>
      <c r="C6" s="246" t="s">
        <v>146</v>
      </c>
      <c r="D6" s="246" t="s">
        <v>147</v>
      </c>
      <c r="E6" s="247" t="s">
        <v>148</v>
      </c>
      <c r="F6" s="247" t="s">
        <v>149</v>
      </c>
      <c r="G6" s="247" t="s">
        <v>150</v>
      </c>
      <c r="H6" s="247" t="s">
        <v>151</v>
      </c>
      <c r="I6" s="247" t="s">
        <v>152</v>
      </c>
      <c r="J6" s="247" t="s">
        <v>153</v>
      </c>
      <c r="K6" s="247" t="s">
        <v>154</v>
      </c>
    </row>
    <row r="7" spans="1:11">
      <c r="A7" s="223"/>
      <c r="B7" s="223"/>
      <c r="C7" s="223"/>
      <c r="D7" s="223"/>
      <c r="E7" s="223"/>
      <c r="F7" s="223"/>
      <c r="G7" s="223"/>
      <c r="H7" s="223"/>
      <c r="I7" s="223"/>
      <c r="J7" s="223"/>
      <c r="K7" s="223"/>
    </row>
    <row r="8" spans="1:11">
      <c r="A8" s="223" t="s">
        <v>155</v>
      </c>
      <c r="B8" s="223" t="s">
        <v>156</v>
      </c>
      <c r="C8" s="249">
        <v>1</v>
      </c>
      <c r="D8" s="250">
        <v>25000</v>
      </c>
      <c r="E8" s="230">
        <f>$C8*$D8*12*E$4</f>
        <v>300000</v>
      </c>
      <c r="F8" s="230">
        <f t="shared" ref="F8:K8" si="1">$C8*$D8*12*F$4</f>
        <v>315000</v>
      </c>
      <c r="G8" s="230">
        <f t="shared" si="1"/>
        <v>330750</v>
      </c>
      <c r="H8" s="230">
        <f t="shared" si="1"/>
        <v>347287.50000000006</v>
      </c>
      <c r="I8" s="230">
        <f t="shared" si="1"/>
        <v>364651.87500000006</v>
      </c>
      <c r="J8" s="230">
        <f t="shared" si="1"/>
        <v>382884.46875000012</v>
      </c>
      <c r="K8" s="230">
        <f t="shared" si="1"/>
        <v>402028.69218750013</v>
      </c>
    </row>
    <row r="9" spans="1:11">
      <c r="A9" s="223" t="s">
        <v>157</v>
      </c>
      <c r="B9" s="223" t="s">
        <v>156</v>
      </c>
      <c r="C9" s="249">
        <v>1</v>
      </c>
      <c r="D9" s="250">
        <v>15000</v>
      </c>
      <c r="E9" s="230">
        <f>$C9*$D9*12*E$4</f>
        <v>180000</v>
      </c>
      <c r="F9" s="230">
        <f t="shared" ref="F9:K10" si="2">$C9*$D9*12*F$4</f>
        <v>189000</v>
      </c>
      <c r="G9" s="230">
        <f t="shared" si="2"/>
        <v>198450</v>
      </c>
      <c r="H9" s="230">
        <f t="shared" si="2"/>
        <v>208372.50000000003</v>
      </c>
      <c r="I9" s="230">
        <f t="shared" si="2"/>
        <v>218791.12500000003</v>
      </c>
      <c r="J9" s="230">
        <f t="shared" si="2"/>
        <v>229730.68125000005</v>
      </c>
      <c r="K9" s="230">
        <f t="shared" si="2"/>
        <v>241217.21531250008</v>
      </c>
    </row>
    <row r="10" spans="1:11">
      <c r="A10" s="223" t="s">
        <v>158</v>
      </c>
      <c r="B10" s="223" t="s">
        <v>156</v>
      </c>
      <c r="C10" s="249">
        <v>2</v>
      </c>
      <c r="D10" s="250">
        <v>10000</v>
      </c>
      <c r="E10" s="230">
        <f>$C10*$D10*12*E$4</f>
        <v>240000</v>
      </c>
      <c r="F10" s="230">
        <f t="shared" si="2"/>
        <v>252000</v>
      </c>
      <c r="G10" s="230">
        <f t="shared" si="2"/>
        <v>264600</v>
      </c>
      <c r="H10" s="230">
        <f t="shared" si="2"/>
        <v>277830.00000000006</v>
      </c>
      <c r="I10" s="230">
        <f t="shared" si="2"/>
        <v>291721.50000000006</v>
      </c>
      <c r="J10" s="230">
        <f t="shared" si="2"/>
        <v>306307.57500000007</v>
      </c>
      <c r="K10" s="230">
        <f t="shared" si="2"/>
        <v>321622.9537500001</v>
      </c>
    </row>
    <row r="11" spans="1:11">
      <c r="A11" s="223" t="s">
        <v>159</v>
      </c>
      <c r="B11" s="223" t="s">
        <v>160</v>
      </c>
      <c r="C11" s="223">
        <v>12</v>
      </c>
      <c r="D11" s="250">
        <v>3000</v>
      </c>
      <c r="E11" s="230">
        <f>$C11*$D11*E$4</f>
        <v>36000</v>
      </c>
      <c r="F11" s="230">
        <f t="shared" ref="F11:K15" si="3">$C11*$D11*F$4</f>
        <v>37800</v>
      </c>
      <c r="G11" s="230">
        <f t="shared" si="3"/>
        <v>39690</v>
      </c>
      <c r="H11" s="230">
        <f t="shared" si="3"/>
        <v>41674.500000000007</v>
      </c>
      <c r="I11" s="230">
        <f t="shared" si="3"/>
        <v>43758.225000000006</v>
      </c>
      <c r="J11" s="230">
        <f t="shared" si="3"/>
        <v>45946.13625000001</v>
      </c>
      <c r="K11" s="230">
        <f t="shared" si="3"/>
        <v>48243.443062500017</v>
      </c>
    </row>
    <row r="12" spans="1:11">
      <c r="A12" s="223" t="s">
        <v>161</v>
      </c>
      <c r="B12" s="223" t="s">
        <v>160</v>
      </c>
      <c r="C12" s="223">
        <v>12</v>
      </c>
      <c r="D12" s="250">
        <v>5000</v>
      </c>
      <c r="E12" s="230">
        <f t="shared" ref="E12:E15" si="4">$C12*$D12*E$4</f>
        <v>60000</v>
      </c>
      <c r="F12" s="230">
        <f t="shared" si="3"/>
        <v>63000</v>
      </c>
      <c r="G12" s="230">
        <f t="shared" si="3"/>
        <v>66150</v>
      </c>
      <c r="H12" s="230">
        <f t="shared" si="3"/>
        <v>69457.500000000015</v>
      </c>
      <c r="I12" s="230">
        <f t="shared" si="3"/>
        <v>72930.375000000015</v>
      </c>
      <c r="J12" s="230">
        <f t="shared" si="3"/>
        <v>76576.893750000017</v>
      </c>
      <c r="K12" s="230">
        <f t="shared" si="3"/>
        <v>80405.738437500026</v>
      </c>
    </row>
    <row r="13" spans="1:11">
      <c r="A13" s="223" t="s">
        <v>162</v>
      </c>
      <c r="B13" s="223" t="s">
        <v>160</v>
      </c>
      <c r="C13" s="223">
        <v>12</v>
      </c>
      <c r="D13" s="250">
        <v>6000</v>
      </c>
      <c r="E13" s="230">
        <f t="shared" si="4"/>
        <v>72000</v>
      </c>
      <c r="F13" s="230">
        <f t="shared" si="3"/>
        <v>75600</v>
      </c>
      <c r="G13" s="230">
        <f t="shared" si="3"/>
        <v>79380</v>
      </c>
      <c r="H13" s="230">
        <f t="shared" si="3"/>
        <v>83349.000000000015</v>
      </c>
      <c r="I13" s="230">
        <f t="shared" si="3"/>
        <v>87516.450000000012</v>
      </c>
      <c r="J13" s="230">
        <f t="shared" si="3"/>
        <v>91892.272500000021</v>
      </c>
      <c r="K13" s="230">
        <f t="shared" si="3"/>
        <v>96486.886125000034</v>
      </c>
    </row>
    <row r="14" spans="1:11">
      <c r="A14" s="223" t="s">
        <v>163</v>
      </c>
      <c r="B14" s="223" t="s">
        <v>160</v>
      </c>
      <c r="C14" s="223">
        <v>12</v>
      </c>
      <c r="D14" s="250">
        <f>30000/12</f>
        <v>2500</v>
      </c>
      <c r="E14" s="230">
        <f t="shared" si="4"/>
        <v>30000</v>
      </c>
      <c r="F14" s="230">
        <f t="shared" si="3"/>
        <v>31500</v>
      </c>
      <c r="G14" s="230">
        <f t="shared" si="3"/>
        <v>33075</v>
      </c>
      <c r="H14" s="230">
        <f t="shared" si="3"/>
        <v>34728.750000000007</v>
      </c>
      <c r="I14" s="230">
        <f t="shared" si="3"/>
        <v>36465.187500000007</v>
      </c>
      <c r="J14" s="230">
        <f t="shared" si="3"/>
        <v>38288.446875000009</v>
      </c>
      <c r="K14" s="230">
        <f t="shared" si="3"/>
        <v>40202.869218750013</v>
      </c>
    </row>
    <row r="15" spans="1:11">
      <c r="A15" s="223" t="s">
        <v>164</v>
      </c>
      <c r="B15" s="223" t="s">
        <v>160</v>
      </c>
      <c r="C15" s="223">
        <v>12</v>
      </c>
      <c r="D15" s="250">
        <v>12500</v>
      </c>
      <c r="E15" s="230">
        <f t="shared" si="4"/>
        <v>150000</v>
      </c>
      <c r="F15" s="230">
        <f t="shared" si="3"/>
        <v>157500</v>
      </c>
      <c r="G15" s="230">
        <f t="shared" si="3"/>
        <v>165375</v>
      </c>
      <c r="H15" s="230">
        <f t="shared" si="3"/>
        <v>173643.75000000003</v>
      </c>
      <c r="I15" s="230">
        <f t="shared" si="3"/>
        <v>182325.93750000003</v>
      </c>
      <c r="J15" s="230">
        <f t="shared" si="3"/>
        <v>191442.23437500006</v>
      </c>
      <c r="K15" s="230">
        <f t="shared" si="3"/>
        <v>201014.34609375006</v>
      </c>
    </row>
    <row r="16" spans="1:11">
      <c r="A16" s="223" t="s">
        <v>165</v>
      </c>
      <c r="B16" s="223" t="s">
        <v>730</v>
      </c>
      <c r="C16" s="223">
        <v>1</v>
      </c>
      <c r="D16" s="250">
        <v>50000</v>
      </c>
      <c r="E16" s="230">
        <f>$D16*E$4*$C16</f>
        <v>50000</v>
      </c>
      <c r="F16" s="230">
        <f t="shared" ref="F16:K22" si="5">$D16*F$4*$C16</f>
        <v>52500</v>
      </c>
      <c r="G16" s="230">
        <f t="shared" si="5"/>
        <v>55125</v>
      </c>
      <c r="H16" s="230">
        <f t="shared" si="5"/>
        <v>57881.250000000007</v>
      </c>
      <c r="I16" s="230">
        <f t="shared" si="5"/>
        <v>60775.312500000015</v>
      </c>
      <c r="J16" s="230">
        <f t="shared" si="5"/>
        <v>63814.078125000015</v>
      </c>
      <c r="K16" s="230">
        <f t="shared" si="5"/>
        <v>67004.782031250026</v>
      </c>
    </row>
    <row r="17" spans="1:17">
      <c r="A17" s="223" t="s">
        <v>731</v>
      </c>
      <c r="B17" s="223" t="s">
        <v>730</v>
      </c>
      <c r="C17" s="223"/>
      <c r="D17" s="268">
        <v>0.01</v>
      </c>
      <c r="E17" s="230">
        <f>$D$17*C68</f>
        <v>180384.6905</v>
      </c>
      <c r="F17" s="230">
        <f t="shared" ref="F17:K17" si="6">$D$17*D68</f>
        <v>169504.38100000002</v>
      </c>
      <c r="G17" s="230">
        <f t="shared" si="6"/>
        <v>158624.07150000002</v>
      </c>
      <c r="H17" s="230">
        <f t="shared" si="6"/>
        <v>147743.76200000005</v>
      </c>
      <c r="I17" s="230">
        <f t="shared" si="6"/>
        <v>136863.45250000004</v>
      </c>
      <c r="J17" s="230">
        <f t="shared" si="6"/>
        <v>125983.14300000003</v>
      </c>
      <c r="K17" s="230">
        <f t="shared" si="6"/>
        <v>115102.83350000002</v>
      </c>
    </row>
    <row r="18" spans="1:17" hidden="1">
      <c r="A18" s="223"/>
      <c r="B18" s="223"/>
      <c r="C18" s="223"/>
      <c r="D18" s="250"/>
      <c r="E18" s="230">
        <f t="shared" ref="E18:E22" si="7">$D18*E$4*$C18</f>
        <v>0</v>
      </c>
      <c r="F18" s="230">
        <f t="shared" si="5"/>
        <v>0</v>
      </c>
      <c r="G18" s="230">
        <f t="shared" si="5"/>
        <v>0</v>
      </c>
      <c r="H18" s="230">
        <f t="shared" si="5"/>
        <v>0</v>
      </c>
      <c r="I18" s="230">
        <f t="shared" si="5"/>
        <v>0</v>
      </c>
      <c r="J18" s="230">
        <f t="shared" si="5"/>
        <v>0</v>
      </c>
      <c r="K18" s="230">
        <f t="shared" si="5"/>
        <v>0</v>
      </c>
    </row>
    <row r="19" spans="1:17" hidden="1">
      <c r="A19" s="223"/>
      <c r="B19" s="223"/>
      <c r="C19" s="223"/>
      <c r="D19" s="250"/>
      <c r="E19" s="230">
        <f t="shared" si="7"/>
        <v>0</v>
      </c>
      <c r="F19" s="230">
        <f t="shared" si="5"/>
        <v>0</v>
      </c>
      <c r="G19" s="230">
        <f t="shared" si="5"/>
        <v>0</v>
      </c>
      <c r="H19" s="230">
        <f t="shared" si="5"/>
        <v>0</v>
      </c>
      <c r="I19" s="230">
        <f t="shared" si="5"/>
        <v>0</v>
      </c>
      <c r="J19" s="230">
        <f t="shared" si="5"/>
        <v>0</v>
      </c>
      <c r="K19" s="230">
        <f t="shared" si="5"/>
        <v>0</v>
      </c>
    </row>
    <row r="20" spans="1:17" hidden="1">
      <c r="A20" s="223"/>
      <c r="B20" s="223"/>
      <c r="C20" s="223"/>
      <c r="D20" s="250"/>
      <c r="E20" s="230">
        <f t="shared" si="7"/>
        <v>0</v>
      </c>
      <c r="F20" s="230">
        <f t="shared" si="5"/>
        <v>0</v>
      </c>
      <c r="G20" s="230">
        <f t="shared" si="5"/>
        <v>0</v>
      </c>
      <c r="H20" s="230">
        <f t="shared" si="5"/>
        <v>0</v>
      </c>
      <c r="I20" s="230">
        <f t="shared" si="5"/>
        <v>0</v>
      </c>
      <c r="J20" s="230">
        <f t="shared" si="5"/>
        <v>0</v>
      </c>
      <c r="K20" s="230">
        <f t="shared" si="5"/>
        <v>0</v>
      </c>
    </row>
    <row r="21" spans="1:17" hidden="1">
      <c r="A21" s="223"/>
      <c r="B21" s="223"/>
      <c r="C21" s="223"/>
      <c r="D21" s="250"/>
      <c r="E21" s="230">
        <f t="shared" si="7"/>
        <v>0</v>
      </c>
      <c r="F21" s="230">
        <f t="shared" si="5"/>
        <v>0</v>
      </c>
      <c r="G21" s="230">
        <f t="shared" si="5"/>
        <v>0</v>
      </c>
      <c r="H21" s="230">
        <f t="shared" si="5"/>
        <v>0</v>
      </c>
      <c r="I21" s="230">
        <f t="shared" si="5"/>
        <v>0</v>
      </c>
      <c r="J21" s="230">
        <f t="shared" si="5"/>
        <v>0</v>
      </c>
      <c r="K21" s="230">
        <f t="shared" si="5"/>
        <v>0</v>
      </c>
    </row>
    <row r="22" spans="1:17" hidden="1">
      <c r="A22" s="223"/>
      <c r="B22" s="223"/>
      <c r="C22" s="223"/>
      <c r="D22" s="230"/>
      <c r="E22" s="230">
        <f t="shared" si="7"/>
        <v>0</v>
      </c>
      <c r="F22" s="230">
        <f t="shared" si="5"/>
        <v>0</v>
      </c>
      <c r="G22" s="230">
        <f t="shared" si="5"/>
        <v>0</v>
      </c>
      <c r="H22" s="230">
        <f t="shared" si="5"/>
        <v>0</v>
      </c>
      <c r="I22" s="230">
        <f t="shared" si="5"/>
        <v>0</v>
      </c>
      <c r="J22" s="230">
        <f t="shared" si="5"/>
        <v>0</v>
      </c>
      <c r="K22" s="230">
        <f t="shared" si="5"/>
        <v>0</v>
      </c>
    </row>
    <row r="23" spans="1:17">
      <c r="A23" s="234" t="s">
        <v>166</v>
      </c>
      <c r="B23" s="234"/>
      <c r="C23" s="234"/>
      <c r="D23" s="236"/>
      <c r="E23" s="236">
        <f>SUM(E8:E22)</f>
        <v>1298384.6905</v>
      </c>
      <c r="F23" s="236">
        <f t="shared" ref="F23:K23" si="8">SUM(F8:F22)</f>
        <v>1343404.3810000001</v>
      </c>
      <c r="G23" s="236">
        <f t="shared" si="8"/>
        <v>1391219.0715000001</v>
      </c>
      <c r="H23" s="236">
        <f t="shared" si="8"/>
        <v>1441968.5120000003</v>
      </c>
      <c r="I23" s="236">
        <f t="shared" si="8"/>
        <v>1495799.4400000004</v>
      </c>
      <c r="J23" s="236">
        <f t="shared" si="8"/>
        <v>1552865.9298750001</v>
      </c>
      <c r="K23" s="236">
        <f t="shared" si="8"/>
        <v>1613329.7597187501</v>
      </c>
    </row>
    <row r="28" spans="1:17">
      <c r="A28" s="425"/>
      <c r="B28" s="425"/>
      <c r="C28" s="425"/>
      <c r="D28" s="425"/>
      <c r="E28" s="425"/>
      <c r="F28" s="425"/>
      <c r="G28" s="425"/>
      <c r="H28" s="425"/>
      <c r="I28" s="425"/>
      <c r="J28" s="425"/>
      <c r="K28" s="425"/>
      <c r="L28" s="425"/>
      <c r="M28" s="425"/>
      <c r="N28" s="425"/>
      <c r="O28" s="425"/>
    </row>
    <row r="29" spans="1:17">
      <c r="A29" s="425" t="s">
        <v>167</v>
      </c>
      <c r="B29" s="425"/>
      <c r="C29" s="425"/>
      <c r="D29" s="425"/>
      <c r="E29" s="425"/>
      <c r="F29" s="425"/>
      <c r="G29" s="425"/>
      <c r="H29" s="425"/>
      <c r="I29" s="425"/>
      <c r="J29" s="361"/>
      <c r="K29" s="361"/>
      <c r="L29" s="361"/>
      <c r="M29" s="361"/>
      <c r="N29" s="361"/>
      <c r="O29" s="361"/>
      <c r="P29" s="361"/>
      <c r="Q29" s="361"/>
    </row>
    <row r="30" spans="1:17" s="276" customFormat="1">
      <c r="A30" s="362"/>
      <c r="B30" s="362"/>
      <c r="C30" s="362"/>
      <c r="D30" s="362"/>
      <c r="E30" s="362"/>
      <c r="F30" s="362"/>
      <c r="G30" s="362"/>
      <c r="H30" s="362"/>
      <c r="I30" s="362"/>
      <c r="J30" s="362"/>
      <c r="K30" s="362"/>
      <c r="L30" s="362"/>
      <c r="M30" s="362"/>
      <c r="N30" s="362"/>
      <c r="O30" s="362"/>
    </row>
    <row r="31" spans="1:17">
      <c r="C31" s="426" t="s">
        <v>168</v>
      </c>
      <c r="D31" s="426"/>
      <c r="E31" s="426"/>
      <c r="F31" s="426"/>
      <c r="G31" s="426"/>
      <c r="H31" s="426"/>
      <c r="I31" s="426"/>
      <c r="K31" s="426" t="s">
        <v>169</v>
      </c>
      <c r="L31" s="426"/>
      <c r="M31" s="426"/>
      <c r="N31" s="426"/>
      <c r="O31" s="426"/>
      <c r="P31" s="426"/>
      <c r="Q31" s="426"/>
    </row>
    <row r="32" spans="1:17">
      <c r="A32" s="363" t="s">
        <v>145</v>
      </c>
      <c r="B32" s="364"/>
      <c r="C32" s="330" t="s">
        <v>148</v>
      </c>
      <c r="D32" s="330" t="s">
        <v>149</v>
      </c>
      <c r="E32" s="330" t="s">
        <v>150</v>
      </c>
      <c r="F32" s="330" t="s">
        <v>151</v>
      </c>
      <c r="G32" s="330" t="s">
        <v>152</v>
      </c>
      <c r="H32" s="330" t="s">
        <v>153</v>
      </c>
      <c r="I32" s="330" t="s">
        <v>154</v>
      </c>
      <c r="J32" s="365"/>
      <c r="K32" s="330" t="s">
        <v>148</v>
      </c>
      <c r="L32" s="330" t="s">
        <v>149</v>
      </c>
      <c r="M32" s="330" t="s">
        <v>150</v>
      </c>
      <c r="N32" s="330" t="s">
        <v>151</v>
      </c>
      <c r="O32" s="330" t="s">
        <v>152</v>
      </c>
      <c r="P32" s="330" t="s">
        <v>153</v>
      </c>
      <c r="Q32" s="330" t="s">
        <v>154</v>
      </c>
    </row>
    <row r="33" spans="1:17">
      <c r="A33" s="366" t="s">
        <v>170</v>
      </c>
      <c r="B33" s="232"/>
      <c r="C33" s="232"/>
      <c r="D33" s="232"/>
      <c r="E33" s="232"/>
      <c r="F33" s="232"/>
      <c r="G33" s="367"/>
      <c r="H33" s="367"/>
      <c r="I33" s="367"/>
      <c r="J33" s="232"/>
      <c r="K33" s="232"/>
      <c r="L33" s="232"/>
      <c r="M33" s="232"/>
      <c r="N33" s="232"/>
      <c r="O33" s="367"/>
      <c r="P33" s="367"/>
      <c r="Q33" s="367"/>
    </row>
    <row r="34" spans="1:17">
      <c r="A34" s="366"/>
      <c r="B34" s="232"/>
      <c r="C34" s="232"/>
      <c r="D34" s="232"/>
      <c r="E34" s="232"/>
      <c r="F34" s="232"/>
      <c r="G34" s="367"/>
      <c r="H34" s="367"/>
      <c r="I34" s="367"/>
      <c r="J34" s="232"/>
      <c r="K34" s="232"/>
      <c r="L34" s="232"/>
      <c r="M34" s="232"/>
      <c r="N34" s="232"/>
      <c r="O34" s="367"/>
      <c r="P34" s="367"/>
      <c r="Q34" s="367"/>
    </row>
    <row r="35" spans="1:17">
      <c r="A35" s="368"/>
      <c r="B35" s="368"/>
      <c r="C35" s="232"/>
      <c r="D35" s="232"/>
      <c r="E35" s="232"/>
      <c r="F35" s="232"/>
      <c r="G35" s="232"/>
      <c r="H35" s="232"/>
      <c r="I35" s="232"/>
      <c r="J35" s="232"/>
      <c r="K35" s="232"/>
      <c r="L35" s="232"/>
      <c r="M35" s="232"/>
      <c r="N35" s="232"/>
      <c r="O35" s="232"/>
      <c r="P35" s="232"/>
      <c r="Q35" s="232"/>
    </row>
    <row r="36" spans="1:17">
      <c r="A36" s="369" t="s">
        <v>171</v>
      </c>
      <c r="B36" s="369"/>
      <c r="C36" s="232"/>
      <c r="D36" s="232"/>
      <c r="E36" s="232"/>
      <c r="F36" s="232"/>
      <c r="G36" s="232"/>
      <c r="H36" s="232"/>
      <c r="I36" s="232"/>
      <c r="J36" s="232"/>
      <c r="K36" s="232"/>
      <c r="L36" s="232"/>
      <c r="M36" s="232"/>
      <c r="N36" s="232"/>
      <c r="O36" s="232"/>
      <c r="P36" s="232"/>
      <c r="Q36" s="232"/>
    </row>
    <row r="37" spans="1:17">
      <c r="A37" s="368" t="s">
        <v>172</v>
      </c>
      <c r="B37" s="368"/>
      <c r="C37" s="370">
        <f>'1.Project Cost and MOF'!D5</f>
        <v>5827500</v>
      </c>
      <c r="D37" s="370">
        <f t="shared" ref="D37:I37" si="9">C40</f>
        <v>5642768.25</v>
      </c>
      <c r="E37" s="370">
        <f t="shared" si="9"/>
        <v>5458036.5</v>
      </c>
      <c r="F37" s="370">
        <f t="shared" si="9"/>
        <v>5273304.75</v>
      </c>
      <c r="G37" s="370">
        <f t="shared" si="9"/>
        <v>5088573</v>
      </c>
      <c r="H37" s="370">
        <f t="shared" si="9"/>
        <v>4903841.25</v>
      </c>
      <c r="I37" s="370">
        <f t="shared" si="9"/>
        <v>4719109.5</v>
      </c>
      <c r="J37" s="232"/>
      <c r="K37" s="370">
        <f>C37</f>
        <v>5827500</v>
      </c>
      <c r="L37" s="370">
        <f t="shared" ref="L37:Q37" si="10">K40</f>
        <v>5244750</v>
      </c>
      <c r="M37" s="370">
        <f t="shared" si="10"/>
        <v>4720275</v>
      </c>
      <c r="N37" s="370">
        <f t="shared" si="10"/>
        <v>4248247.5</v>
      </c>
      <c r="O37" s="370">
        <f t="shared" si="10"/>
        <v>3823422.75</v>
      </c>
      <c r="P37" s="370">
        <f t="shared" si="10"/>
        <v>3441080.4750000001</v>
      </c>
      <c r="Q37" s="370">
        <f t="shared" si="10"/>
        <v>3096972.4275000002</v>
      </c>
    </row>
    <row r="38" spans="1:17">
      <c r="A38" s="368" t="s">
        <v>173</v>
      </c>
      <c r="B38" s="368"/>
      <c r="C38" s="370">
        <f t="shared" ref="C38:I38" si="11">$C$37*$B$74</f>
        <v>184731.75</v>
      </c>
      <c r="D38" s="370">
        <f t="shared" si="11"/>
        <v>184731.75</v>
      </c>
      <c r="E38" s="370">
        <f t="shared" si="11"/>
        <v>184731.75</v>
      </c>
      <c r="F38" s="370">
        <f t="shared" si="11"/>
        <v>184731.75</v>
      </c>
      <c r="G38" s="370">
        <f t="shared" si="11"/>
        <v>184731.75</v>
      </c>
      <c r="H38" s="370">
        <f t="shared" si="11"/>
        <v>184731.75</v>
      </c>
      <c r="I38" s="370">
        <f t="shared" si="11"/>
        <v>184731.75</v>
      </c>
      <c r="J38" s="232"/>
      <c r="K38" s="370">
        <f t="shared" ref="K38:Q38" si="12">K37*$C$74</f>
        <v>582750</v>
      </c>
      <c r="L38" s="370">
        <f t="shared" si="12"/>
        <v>524475</v>
      </c>
      <c r="M38" s="370">
        <f t="shared" si="12"/>
        <v>472027.5</v>
      </c>
      <c r="N38" s="370">
        <f t="shared" si="12"/>
        <v>424824.75</v>
      </c>
      <c r="O38" s="370">
        <f t="shared" si="12"/>
        <v>382342.27500000002</v>
      </c>
      <c r="P38" s="370">
        <f t="shared" si="12"/>
        <v>344108.04750000004</v>
      </c>
      <c r="Q38" s="370">
        <f t="shared" si="12"/>
        <v>309697.24275000003</v>
      </c>
    </row>
    <row r="39" spans="1:17">
      <c r="A39" s="368" t="s">
        <v>174</v>
      </c>
      <c r="B39" s="368"/>
      <c r="C39" s="370">
        <f>C38</f>
        <v>184731.75</v>
      </c>
      <c r="D39" s="370">
        <f t="shared" ref="D39:I39" si="13">C39+D38</f>
        <v>369463.5</v>
      </c>
      <c r="E39" s="370">
        <f t="shared" si="13"/>
        <v>554195.25</v>
      </c>
      <c r="F39" s="370">
        <f t="shared" si="13"/>
        <v>738927</v>
      </c>
      <c r="G39" s="370">
        <f t="shared" si="13"/>
        <v>923658.75</v>
      </c>
      <c r="H39" s="370">
        <f t="shared" si="13"/>
        <v>1108390.5</v>
      </c>
      <c r="I39" s="370">
        <f t="shared" si="13"/>
        <v>1293122.25</v>
      </c>
      <c r="J39" s="232"/>
      <c r="K39" s="370">
        <f>K38</f>
        <v>582750</v>
      </c>
      <c r="L39" s="370">
        <f t="shared" ref="L39:Q39" si="14">K39+L38</f>
        <v>1107225</v>
      </c>
      <c r="M39" s="370">
        <f t="shared" si="14"/>
        <v>1579252.5</v>
      </c>
      <c r="N39" s="370">
        <f t="shared" si="14"/>
        <v>2004077.25</v>
      </c>
      <c r="O39" s="370">
        <f t="shared" si="14"/>
        <v>2386419.5249999999</v>
      </c>
      <c r="P39" s="370">
        <f t="shared" si="14"/>
        <v>2730527.5724999998</v>
      </c>
      <c r="Q39" s="370">
        <f t="shared" si="14"/>
        <v>3040224.81525</v>
      </c>
    </row>
    <row r="40" spans="1:17">
      <c r="A40" s="368" t="s">
        <v>175</v>
      </c>
      <c r="B40" s="368"/>
      <c r="C40" s="370">
        <f t="shared" ref="C40:I40" si="15">C37-C38</f>
        <v>5642768.25</v>
      </c>
      <c r="D40" s="370">
        <f t="shared" si="15"/>
        <v>5458036.5</v>
      </c>
      <c r="E40" s="370">
        <f t="shared" si="15"/>
        <v>5273304.75</v>
      </c>
      <c r="F40" s="370">
        <f t="shared" si="15"/>
        <v>5088573</v>
      </c>
      <c r="G40" s="370">
        <f t="shared" si="15"/>
        <v>4903841.25</v>
      </c>
      <c r="H40" s="370">
        <f t="shared" si="15"/>
        <v>4719109.5</v>
      </c>
      <c r="I40" s="370">
        <f t="shared" si="15"/>
        <v>4534377.75</v>
      </c>
      <c r="J40" s="232"/>
      <c r="K40" s="370">
        <f t="shared" ref="K40:Q40" si="16">K37-K38</f>
        <v>5244750</v>
      </c>
      <c r="L40" s="370">
        <f t="shared" si="16"/>
        <v>4720275</v>
      </c>
      <c r="M40" s="370">
        <f t="shared" si="16"/>
        <v>4248247.5</v>
      </c>
      <c r="N40" s="370">
        <f t="shared" si="16"/>
        <v>3823422.75</v>
      </c>
      <c r="O40" s="370">
        <f t="shared" si="16"/>
        <v>3441080.4750000001</v>
      </c>
      <c r="P40" s="370">
        <f t="shared" si="16"/>
        <v>3096972.4275000002</v>
      </c>
      <c r="Q40" s="370">
        <f t="shared" si="16"/>
        <v>2787275.18475</v>
      </c>
    </row>
    <row r="41" spans="1:17">
      <c r="A41" s="368"/>
      <c r="B41" s="368"/>
      <c r="C41" s="370"/>
      <c r="D41" s="370"/>
      <c r="E41" s="370"/>
      <c r="F41" s="370"/>
      <c r="G41" s="370"/>
      <c r="H41" s="370"/>
      <c r="I41" s="370"/>
      <c r="J41" s="232"/>
      <c r="K41" s="370"/>
      <c r="L41" s="370"/>
      <c r="M41" s="370"/>
      <c r="N41" s="370"/>
      <c r="O41" s="370"/>
      <c r="P41" s="370"/>
      <c r="Q41" s="370"/>
    </row>
    <row r="42" spans="1:17">
      <c r="A42" s="369" t="s">
        <v>176</v>
      </c>
      <c r="B42" s="369"/>
      <c r="C42" s="370"/>
      <c r="D42" s="370"/>
      <c r="E42" s="370"/>
      <c r="F42" s="370"/>
      <c r="G42" s="370"/>
      <c r="H42" s="370"/>
      <c r="I42" s="370"/>
      <c r="J42" s="232"/>
      <c r="K42" s="370"/>
      <c r="L42" s="370"/>
      <c r="M42" s="370"/>
      <c r="N42" s="370"/>
      <c r="O42" s="370"/>
      <c r="P42" s="370"/>
      <c r="Q42" s="370"/>
    </row>
    <row r="43" spans="1:17">
      <c r="A43" s="368" t="s">
        <v>172</v>
      </c>
      <c r="B43" s="368"/>
      <c r="C43" s="370">
        <f>'1.Project Cost and MOF'!D6</f>
        <v>11624000</v>
      </c>
      <c r="D43" s="370">
        <f t="shared" ref="D43:I43" si="17">C46</f>
        <v>10888200.800000001</v>
      </c>
      <c r="E43" s="370">
        <f t="shared" si="17"/>
        <v>10152401.600000001</v>
      </c>
      <c r="F43" s="370">
        <f t="shared" si="17"/>
        <v>9416602.4000000022</v>
      </c>
      <c r="G43" s="370">
        <f t="shared" si="17"/>
        <v>8680803.200000003</v>
      </c>
      <c r="H43" s="370">
        <f t="shared" si="17"/>
        <v>7945004.0000000028</v>
      </c>
      <c r="I43" s="370">
        <f t="shared" si="17"/>
        <v>7209204.8000000026</v>
      </c>
      <c r="J43" s="232"/>
      <c r="K43" s="370">
        <f>C43</f>
        <v>11624000</v>
      </c>
      <c r="L43" s="370">
        <f t="shared" ref="L43:Q43" si="18">K46</f>
        <v>9880400</v>
      </c>
      <c r="M43" s="370">
        <f t="shared" si="18"/>
        <v>8398340</v>
      </c>
      <c r="N43" s="370">
        <f t="shared" si="18"/>
        <v>7138589</v>
      </c>
      <c r="O43" s="370">
        <f t="shared" si="18"/>
        <v>6067800.6500000004</v>
      </c>
      <c r="P43" s="370">
        <f t="shared" si="18"/>
        <v>5157630.5525000002</v>
      </c>
      <c r="Q43" s="370">
        <f t="shared" si="18"/>
        <v>4383985.9696249999</v>
      </c>
    </row>
    <row r="44" spans="1:17">
      <c r="A44" s="368" t="s">
        <v>173</v>
      </c>
      <c r="B44" s="368"/>
      <c r="C44" s="370">
        <f t="shared" ref="C44:I44" si="19">$C$43*$B$78</f>
        <v>735799.2</v>
      </c>
      <c r="D44" s="370">
        <f t="shared" si="19"/>
        <v>735799.2</v>
      </c>
      <c r="E44" s="370">
        <f t="shared" si="19"/>
        <v>735799.2</v>
      </c>
      <c r="F44" s="370">
        <f t="shared" si="19"/>
        <v>735799.2</v>
      </c>
      <c r="G44" s="370">
        <f t="shared" si="19"/>
        <v>735799.2</v>
      </c>
      <c r="H44" s="370">
        <f t="shared" si="19"/>
        <v>735799.2</v>
      </c>
      <c r="I44" s="370">
        <f t="shared" si="19"/>
        <v>735799.2</v>
      </c>
      <c r="J44" s="232"/>
      <c r="K44" s="370">
        <f t="shared" ref="K44:Q44" si="20">K43*$C$78</f>
        <v>1743600</v>
      </c>
      <c r="L44" s="370">
        <f t="shared" si="20"/>
        <v>1482060</v>
      </c>
      <c r="M44" s="370">
        <f t="shared" si="20"/>
        <v>1259751</v>
      </c>
      <c r="N44" s="370">
        <f t="shared" si="20"/>
        <v>1070788.3499999999</v>
      </c>
      <c r="O44" s="370">
        <f t="shared" si="20"/>
        <v>910170.09750000003</v>
      </c>
      <c r="P44" s="370">
        <f t="shared" si="20"/>
        <v>773644.58287499996</v>
      </c>
      <c r="Q44" s="370">
        <f t="shared" si="20"/>
        <v>657597.89544374996</v>
      </c>
    </row>
    <row r="45" spans="1:17">
      <c r="A45" s="368" t="s">
        <v>174</v>
      </c>
      <c r="B45" s="368"/>
      <c r="C45" s="370">
        <f>C44</f>
        <v>735799.2</v>
      </c>
      <c r="D45" s="370">
        <f t="shared" ref="D45:I45" si="21">C45+D44</f>
        <v>1471598.4</v>
      </c>
      <c r="E45" s="370">
        <f t="shared" si="21"/>
        <v>2207397.5999999996</v>
      </c>
      <c r="F45" s="370">
        <f t="shared" si="21"/>
        <v>2943196.8</v>
      </c>
      <c r="G45" s="370">
        <f t="shared" si="21"/>
        <v>3678996</v>
      </c>
      <c r="H45" s="370">
        <f t="shared" si="21"/>
        <v>4414795.2</v>
      </c>
      <c r="I45" s="370">
        <f t="shared" si="21"/>
        <v>5150594.4000000004</v>
      </c>
      <c r="J45" s="232"/>
      <c r="K45" s="370">
        <f>K44</f>
        <v>1743600</v>
      </c>
      <c r="L45" s="370">
        <f t="shared" ref="L45:Q45" si="22">K45+L44</f>
        <v>3225660</v>
      </c>
      <c r="M45" s="370">
        <f t="shared" si="22"/>
        <v>4485411</v>
      </c>
      <c r="N45" s="370">
        <f t="shared" si="22"/>
        <v>5556199.3499999996</v>
      </c>
      <c r="O45" s="370">
        <f t="shared" si="22"/>
        <v>6466369.4474999998</v>
      </c>
      <c r="P45" s="370">
        <f t="shared" si="22"/>
        <v>7240014.0303750001</v>
      </c>
      <c r="Q45" s="370">
        <f t="shared" si="22"/>
        <v>7897611.9258187497</v>
      </c>
    </row>
    <row r="46" spans="1:17">
      <c r="A46" s="368" t="s">
        <v>175</v>
      </c>
      <c r="B46" s="368"/>
      <c r="C46" s="370">
        <f t="shared" ref="C46:I46" si="23">C43-C44</f>
        <v>10888200.800000001</v>
      </c>
      <c r="D46" s="370">
        <f t="shared" si="23"/>
        <v>10152401.600000001</v>
      </c>
      <c r="E46" s="370">
        <f t="shared" si="23"/>
        <v>9416602.4000000022</v>
      </c>
      <c r="F46" s="370">
        <f t="shared" si="23"/>
        <v>8680803.200000003</v>
      </c>
      <c r="G46" s="370">
        <f t="shared" si="23"/>
        <v>7945004.0000000028</v>
      </c>
      <c r="H46" s="370">
        <f t="shared" si="23"/>
        <v>7209204.8000000026</v>
      </c>
      <c r="I46" s="370">
        <f t="shared" si="23"/>
        <v>6473405.6000000024</v>
      </c>
      <c r="J46" s="232"/>
      <c r="K46" s="370">
        <f t="shared" ref="K46:Q46" si="24">K43-K44</f>
        <v>9880400</v>
      </c>
      <c r="L46" s="370">
        <f t="shared" si="24"/>
        <v>8398340</v>
      </c>
      <c r="M46" s="370">
        <f t="shared" si="24"/>
        <v>7138589</v>
      </c>
      <c r="N46" s="370">
        <f t="shared" si="24"/>
        <v>6067800.6500000004</v>
      </c>
      <c r="O46" s="370">
        <f t="shared" si="24"/>
        <v>5157630.5525000002</v>
      </c>
      <c r="P46" s="370">
        <f t="shared" si="24"/>
        <v>4383985.9696249999</v>
      </c>
      <c r="Q46" s="370">
        <f t="shared" si="24"/>
        <v>3726388.0741812498</v>
      </c>
    </row>
    <row r="47" spans="1:17">
      <c r="A47" s="368"/>
      <c r="B47" s="368"/>
      <c r="C47" s="370"/>
      <c r="D47" s="370"/>
      <c r="E47" s="370"/>
      <c r="F47" s="370"/>
      <c r="G47" s="370"/>
      <c r="H47" s="370"/>
      <c r="I47" s="370"/>
      <c r="J47" s="232"/>
      <c r="K47" s="370"/>
      <c r="L47" s="370"/>
      <c r="M47" s="370"/>
      <c r="N47" s="370"/>
      <c r="O47" s="370"/>
      <c r="P47" s="370"/>
      <c r="Q47" s="370"/>
    </row>
    <row r="48" spans="1:17">
      <c r="A48" s="369" t="s">
        <v>177</v>
      </c>
      <c r="B48" s="369"/>
      <c r="C48" s="370"/>
      <c r="D48" s="370"/>
      <c r="E48" s="370"/>
      <c r="F48" s="370"/>
      <c r="G48" s="370"/>
      <c r="H48" s="370"/>
      <c r="I48" s="370"/>
      <c r="J48" s="232"/>
      <c r="K48" s="370"/>
      <c r="L48" s="370"/>
      <c r="M48" s="370"/>
      <c r="N48" s="370"/>
      <c r="O48" s="370"/>
      <c r="P48" s="370"/>
      <c r="Q48" s="370"/>
    </row>
    <row r="49" spans="1:17">
      <c r="A49" s="368" t="s">
        <v>172</v>
      </c>
      <c r="B49" s="368"/>
      <c r="C49" s="370">
        <f>'1.Project Cost and MOF'!D7</f>
        <v>1050000</v>
      </c>
      <c r="D49" s="370">
        <f t="shared" ref="D49:I49" si="25">C52</f>
        <v>945000</v>
      </c>
      <c r="E49" s="370">
        <f t="shared" si="25"/>
        <v>840000</v>
      </c>
      <c r="F49" s="370">
        <f t="shared" si="25"/>
        <v>735000</v>
      </c>
      <c r="G49" s="370">
        <f t="shared" si="25"/>
        <v>630000</v>
      </c>
      <c r="H49" s="370">
        <f t="shared" si="25"/>
        <v>525000</v>
      </c>
      <c r="I49" s="370">
        <f t="shared" si="25"/>
        <v>420000</v>
      </c>
      <c r="J49" s="232"/>
      <c r="K49" s="370">
        <f>C49</f>
        <v>1050000</v>
      </c>
      <c r="L49" s="370">
        <f t="shared" ref="L49:Q49" si="26">K52</f>
        <v>945000</v>
      </c>
      <c r="M49" s="370">
        <f t="shared" si="26"/>
        <v>850500</v>
      </c>
      <c r="N49" s="370">
        <f t="shared" si="26"/>
        <v>765450</v>
      </c>
      <c r="O49" s="370">
        <f t="shared" si="26"/>
        <v>688905</v>
      </c>
      <c r="P49" s="370">
        <f t="shared" si="26"/>
        <v>620014.5</v>
      </c>
      <c r="Q49" s="370">
        <f t="shared" si="26"/>
        <v>558013.05000000005</v>
      </c>
    </row>
    <row r="50" spans="1:17">
      <c r="A50" s="368" t="s">
        <v>173</v>
      </c>
      <c r="B50" s="368"/>
      <c r="C50" s="370">
        <f t="shared" ref="C50:I50" si="27">$C$49*$B$75</f>
        <v>105000</v>
      </c>
      <c r="D50" s="370">
        <f t="shared" si="27"/>
        <v>105000</v>
      </c>
      <c r="E50" s="370">
        <f t="shared" si="27"/>
        <v>105000</v>
      </c>
      <c r="F50" s="370">
        <f t="shared" si="27"/>
        <v>105000</v>
      </c>
      <c r="G50" s="370">
        <f t="shared" si="27"/>
        <v>105000</v>
      </c>
      <c r="H50" s="370">
        <f t="shared" si="27"/>
        <v>105000</v>
      </c>
      <c r="I50" s="370">
        <f t="shared" si="27"/>
        <v>105000</v>
      </c>
      <c r="J50" s="232"/>
      <c r="K50" s="370">
        <f t="shared" ref="K50:Q50" si="28">K49*$C$75</f>
        <v>105000</v>
      </c>
      <c r="L50" s="370">
        <f t="shared" si="28"/>
        <v>94500</v>
      </c>
      <c r="M50" s="370">
        <f t="shared" si="28"/>
        <v>85050</v>
      </c>
      <c r="N50" s="370">
        <f t="shared" si="28"/>
        <v>76545</v>
      </c>
      <c r="O50" s="370">
        <f t="shared" si="28"/>
        <v>68890.5</v>
      </c>
      <c r="P50" s="370">
        <f t="shared" si="28"/>
        <v>62001.450000000004</v>
      </c>
      <c r="Q50" s="370">
        <f t="shared" si="28"/>
        <v>55801.305000000008</v>
      </c>
    </row>
    <row r="51" spans="1:17">
      <c r="A51" s="368" t="s">
        <v>174</v>
      </c>
      <c r="B51" s="368"/>
      <c r="C51" s="370">
        <f>C50</f>
        <v>105000</v>
      </c>
      <c r="D51" s="370">
        <f t="shared" ref="D51:I51" si="29">C51+D50</f>
        <v>210000</v>
      </c>
      <c r="E51" s="370">
        <f t="shared" si="29"/>
        <v>315000</v>
      </c>
      <c r="F51" s="370">
        <f t="shared" si="29"/>
        <v>420000</v>
      </c>
      <c r="G51" s="370">
        <f t="shared" si="29"/>
        <v>525000</v>
      </c>
      <c r="H51" s="370">
        <f t="shared" si="29"/>
        <v>630000</v>
      </c>
      <c r="I51" s="370">
        <f t="shared" si="29"/>
        <v>735000</v>
      </c>
      <c r="J51" s="232"/>
      <c r="K51" s="370">
        <f>K50</f>
        <v>105000</v>
      </c>
      <c r="L51" s="370">
        <f t="shared" ref="L51:Q51" si="30">K51+L50</f>
        <v>199500</v>
      </c>
      <c r="M51" s="370">
        <f t="shared" si="30"/>
        <v>284550</v>
      </c>
      <c r="N51" s="370">
        <f t="shared" si="30"/>
        <v>361095</v>
      </c>
      <c r="O51" s="370">
        <f t="shared" si="30"/>
        <v>429985.5</v>
      </c>
      <c r="P51" s="370">
        <f t="shared" si="30"/>
        <v>491986.95</v>
      </c>
      <c r="Q51" s="370">
        <f t="shared" si="30"/>
        <v>547788.255</v>
      </c>
    </row>
    <row r="52" spans="1:17">
      <c r="A52" s="368" t="s">
        <v>175</v>
      </c>
      <c r="B52" s="368"/>
      <c r="C52" s="370">
        <f t="shared" ref="C52:I52" si="31">C49-C50</f>
        <v>945000</v>
      </c>
      <c r="D52" s="370">
        <f t="shared" si="31"/>
        <v>840000</v>
      </c>
      <c r="E52" s="370">
        <f t="shared" si="31"/>
        <v>735000</v>
      </c>
      <c r="F52" s="370">
        <f t="shared" si="31"/>
        <v>630000</v>
      </c>
      <c r="G52" s="370">
        <f t="shared" si="31"/>
        <v>525000</v>
      </c>
      <c r="H52" s="370">
        <f t="shared" si="31"/>
        <v>420000</v>
      </c>
      <c r="I52" s="370">
        <f t="shared" si="31"/>
        <v>315000</v>
      </c>
      <c r="J52" s="232"/>
      <c r="K52" s="370">
        <f t="shared" ref="K52:Q52" si="32">K49-K50</f>
        <v>945000</v>
      </c>
      <c r="L52" s="370">
        <f t="shared" si="32"/>
        <v>850500</v>
      </c>
      <c r="M52" s="370">
        <f t="shared" si="32"/>
        <v>765450</v>
      </c>
      <c r="N52" s="370">
        <f t="shared" si="32"/>
        <v>688905</v>
      </c>
      <c r="O52" s="370">
        <f t="shared" si="32"/>
        <v>620014.5</v>
      </c>
      <c r="P52" s="370">
        <f t="shared" si="32"/>
        <v>558013.05000000005</v>
      </c>
      <c r="Q52" s="370">
        <f t="shared" si="32"/>
        <v>502211.74500000005</v>
      </c>
    </row>
    <row r="53" spans="1:17">
      <c r="A53" s="368"/>
      <c r="B53" s="368"/>
      <c r="C53" s="370"/>
      <c r="D53" s="370"/>
      <c r="E53" s="370"/>
      <c r="F53" s="370"/>
      <c r="G53" s="370"/>
      <c r="H53" s="370"/>
      <c r="I53" s="370"/>
      <c r="J53" s="232"/>
      <c r="K53" s="370"/>
      <c r="L53" s="370"/>
      <c r="M53" s="370"/>
      <c r="N53" s="370"/>
      <c r="O53" s="370"/>
      <c r="P53" s="370"/>
      <c r="Q53" s="370"/>
    </row>
    <row r="54" spans="1:17" hidden="1">
      <c r="A54" s="369" t="s">
        <v>178</v>
      </c>
      <c r="B54" s="369"/>
      <c r="C54" s="370"/>
      <c r="D54" s="370"/>
      <c r="E54" s="370"/>
      <c r="F54" s="370"/>
      <c r="G54" s="370"/>
      <c r="H54" s="370"/>
      <c r="I54" s="370"/>
      <c r="J54" s="232"/>
      <c r="K54" s="370"/>
      <c r="L54" s="370"/>
      <c r="M54" s="370"/>
      <c r="N54" s="370"/>
      <c r="O54" s="370"/>
      <c r="P54" s="370"/>
      <c r="Q54" s="370"/>
    </row>
    <row r="55" spans="1:17" hidden="1">
      <c r="A55" s="368" t="s">
        <v>172</v>
      </c>
      <c r="B55" s="368"/>
      <c r="C55" s="370">
        <f>'1.Project Cost and MOF'!D9</f>
        <v>0</v>
      </c>
      <c r="D55" s="370">
        <f t="shared" ref="D55:I55" si="33">C58</f>
        <v>0</v>
      </c>
      <c r="E55" s="370">
        <f t="shared" si="33"/>
        <v>0</v>
      </c>
      <c r="F55" s="370">
        <f t="shared" si="33"/>
        <v>0</v>
      </c>
      <c r="G55" s="370">
        <f t="shared" si="33"/>
        <v>0</v>
      </c>
      <c r="H55" s="370">
        <f t="shared" si="33"/>
        <v>0</v>
      </c>
      <c r="I55" s="370">
        <f t="shared" si="33"/>
        <v>0</v>
      </c>
      <c r="J55" s="232"/>
      <c r="K55" s="370">
        <f>C55</f>
        <v>0</v>
      </c>
      <c r="L55" s="370">
        <f t="shared" ref="L55:Q55" si="34">K58</f>
        <v>0</v>
      </c>
      <c r="M55" s="370">
        <f t="shared" si="34"/>
        <v>0</v>
      </c>
      <c r="N55" s="370">
        <f t="shared" si="34"/>
        <v>0</v>
      </c>
      <c r="O55" s="370">
        <f t="shared" si="34"/>
        <v>0</v>
      </c>
      <c r="P55" s="370">
        <f t="shared" si="34"/>
        <v>0</v>
      </c>
      <c r="Q55" s="370">
        <f t="shared" si="34"/>
        <v>0</v>
      </c>
    </row>
    <row r="56" spans="1:17" hidden="1">
      <c r="A56" s="368" t="s">
        <v>173</v>
      </c>
      <c r="B56" s="368"/>
      <c r="C56" s="370">
        <f t="shared" ref="C56:I56" si="35">$C$55*$B$77</f>
        <v>0</v>
      </c>
      <c r="D56" s="370">
        <f t="shared" si="35"/>
        <v>0</v>
      </c>
      <c r="E56" s="370">
        <f t="shared" si="35"/>
        <v>0</v>
      </c>
      <c r="F56" s="370">
        <f t="shared" si="35"/>
        <v>0</v>
      </c>
      <c r="G56" s="370">
        <f t="shared" si="35"/>
        <v>0</v>
      </c>
      <c r="H56" s="370">
        <f t="shared" si="35"/>
        <v>0</v>
      </c>
      <c r="I56" s="370">
        <f t="shared" si="35"/>
        <v>0</v>
      </c>
      <c r="J56" s="232"/>
      <c r="K56" s="370">
        <f t="shared" ref="K56:Q56" si="36">K55*$C$77</f>
        <v>0</v>
      </c>
      <c r="L56" s="370">
        <f t="shared" si="36"/>
        <v>0</v>
      </c>
      <c r="M56" s="370">
        <f t="shared" si="36"/>
        <v>0</v>
      </c>
      <c r="N56" s="370">
        <f t="shared" si="36"/>
        <v>0</v>
      </c>
      <c r="O56" s="370">
        <f t="shared" si="36"/>
        <v>0</v>
      </c>
      <c r="P56" s="370">
        <f t="shared" si="36"/>
        <v>0</v>
      </c>
      <c r="Q56" s="370">
        <f t="shared" si="36"/>
        <v>0</v>
      </c>
    </row>
    <row r="57" spans="1:17" hidden="1">
      <c r="A57" s="368" t="s">
        <v>174</v>
      </c>
      <c r="B57" s="368"/>
      <c r="C57" s="370">
        <f>C56</f>
        <v>0</v>
      </c>
      <c r="D57" s="370">
        <f t="shared" ref="D57:I57" si="37">C57+D56</f>
        <v>0</v>
      </c>
      <c r="E57" s="370">
        <f t="shared" si="37"/>
        <v>0</v>
      </c>
      <c r="F57" s="370">
        <f t="shared" si="37"/>
        <v>0</v>
      </c>
      <c r="G57" s="370">
        <f t="shared" si="37"/>
        <v>0</v>
      </c>
      <c r="H57" s="370">
        <f t="shared" si="37"/>
        <v>0</v>
      </c>
      <c r="I57" s="370">
        <f t="shared" si="37"/>
        <v>0</v>
      </c>
      <c r="J57" s="232"/>
      <c r="K57" s="370">
        <f>K56</f>
        <v>0</v>
      </c>
      <c r="L57" s="370">
        <f t="shared" ref="L57:Q57" si="38">K57+L56</f>
        <v>0</v>
      </c>
      <c r="M57" s="370">
        <f t="shared" si="38"/>
        <v>0</v>
      </c>
      <c r="N57" s="370">
        <f t="shared" si="38"/>
        <v>0</v>
      </c>
      <c r="O57" s="370">
        <f t="shared" si="38"/>
        <v>0</v>
      </c>
      <c r="P57" s="370">
        <f t="shared" si="38"/>
        <v>0</v>
      </c>
      <c r="Q57" s="370">
        <f t="shared" si="38"/>
        <v>0</v>
      </c>
    </row>
    <row r="58" spans="1:17" hidden="1">
      <c r="A58" s="368" t="s">
        <v>175</v>
      </c>
      <c r="B58" s="368"/>
      <c r="C58" s="370">
        <f t="shared" ref="C58:I58" si="39">C55-C56</f>
        <v>0</v>
      </c>
      <c r="D58" s="370">
        <f t="shared" si="39"/>
        <v>0</v>
      </c>
      <c r="E58" s="370">
        <f t="shared" si="39"/>
        <v>0</v>
      </c>
      <c r="F58" s="370">
        <f t="shared" si="39"/>
        <v>0</v>
      </c>
      <c r="G58" s="370">
        <f t="shared" si="39"/>
        <v>0</v>
      </c>
      <c r="H58" s="370">
        <f t="shared" si="39"/>
        <v>0</v>
      </c>
      <c r="I58" s="370">
        <f t="shared" si="39"/>
        <v>0</v>
      </c>
      <c r="J58" s="232"/>
      <c r="K58" s="370">
        <f t="shared" ref="K58:Q58" si="40">K55-K56</f>
        <v>0</v>
      </c>
      <c r="L58" s="370">
        <f t="shared" si="40"/>
        <v>0</v>
      </c>
      <c r="M58" s="370">
        <f t="shared" si="40"/>
        <v>0</v>
      </c>
      <c r="N58" s="370">
        <f t="shared" si="40"/>
        <v>0</v>
      </c>
      <c r="O58" s="370">
        <f t="shared" si="40"/>
        <v>0</v>
      </c>
      <c r="P58" s="370">
        <f t="shared" si="40"/>
        <v>0</v>
      </c>
      <c r="Q58" s="370">
        <f t="shared" si="40"/>
        <v>0</v>
      </c>
    </row>
    <row r="59" spans="1:17" hidden="1">
      <c r="A59" s="368"/>
      <c r="B59" s="368"/>
      <c r="C59" s="370"/>
      <c r="D59" s="370"/>
      <c r="E59" s="370"/>
      <c r="F59" s="370"/>
      <c r="G59" s="370"/>
      <c r="H59" s="370"/>
      <c r="I59" s="370"/>
      <c r="J59" s="232"/>
      <c r="K59" s="370"/>
      <c r="L59" s="370"/>
      <c r="M59" s="370"/>
      <c r="N59" s="370"/>
      <c r="O59" s="370"/>
      <c r="P59" s="370"/>
      <c r="Q59" s="370"/>
    </row>
    <row r="60" spans="1:17">
      <c r="A60" s="371" t="s">
        <v>179</v>
      </c>
      <c r="B60" s="368"/>
      <c r="C60" s="370"/>
      <c r="D60" s="370"/>
      <c r="E60" s="370"/>
      <c r="F60" s="370"/>
      <c r="G60" s="370"/>
      <c r="H60" s="370"/>
      <c r="I60" s="370"/>
      <c r="J60" s="232"/>
      <c r="K60" s="370"/>
      <c r="L60" s="370"/>
      <c r="M60" s="370"/>
      <c r="N60" s="370"/>
      <c r="O60" s="370"/>
      <c r="P60" s="370"/>
      <c r="Q60" s="370"/>
    </row>
    <row r="61" spans="1:17">
      <c r="A61" s="368" t="str">
        <f>A55</f>
        <v>Asset Value</v>
      </c>
      <c r="B61" s="368"/>
      <c r="C61" s="370">
        <f>'1.Project Cost and MOF'!D8</f>
        <v>625000</v>
      </c>
      <c r="D61" s="370">
        <f t="shared" ref="D61:I61" si="41">C64</f>
        <v>562500</v>
      </c>
      <c r="E61" s="370">
        <f t="shared" si="41"/>
        <v>500000</v>
      </c>
      <c r="F61" s="370">
        <f t="shared" si="41"/>
        <v>437500</v>
      </c>
      <c r="G61" s="370">
        <f t="shared" si="41"/>
        <v>375000</v>
      </c>
      <c r="H61" s="370">
        <f t="shared" si="41"/>
        <v>312500</v>
      </c>
      <c r="I61" s="370">
        <f t="shared" si="41"/>
        <v>250000</v>
      </c>
      <c r="J61" s="232"/>
      <c r="K61" s="370">
        <f>C61</f>
        <v>625000</v>
      </c>
      <c r="L61" s="370">
        <f t="shared" ref="L61:Q61" si="42">K64</f>
        <v>375000</v>
      </c>
      <c r="M61" s="370">
        <f t="shared" si="42"/>
        <v>225000</v>
      </c>
      <c r="N61" s="370">
        <f t="shared" si="42"/>
        <v>135000</v>
      </c>
      <c r="O61" s="370">
        <f t="shared" si="42"/>
        <v>81000</v>
      </c>
      <c r="P61" s="370">
        <f t="shared" si="42"/>
        <v>48600</v>
      </c>
      <c r="Q61" s="370">
        <f t="shared" si="42"/>
        <v>29160</v>
      </c>
    </row>
    <row r="62" spans="1:17">
      <c r="A62" s="368" t="str">
        <f>A56</f>
        <v>Depreciation</v>
      </c>
      <c r="B62" s="368"/>
      <c r="C62" s="370">
        <f t="shared" ref="C62:I62" si="43">$C$61*$B$76</f>
        <v>62500</v>
      </c>
      <c r="D62" s="370">
        <f t="shared" si="43"/>
        <v>62500</v>
      </c>
      <c r="E62" s="370">
        <f t="shared" si="43"/>
        <v>62500</v>
      </c>
      <c r="F62" s="370">
        <f t="shared" si="43"/>
        <v>62500</v>
      </c>
      <c r="G62" s="370">
        <f t="shared" si="43"/>
        <v>62500</v>
      </c>
      <c r="H62" s="370">
        <f t="shared" si="43"/>
        <v>62500</v>
      </c>
      <c r="I62" s="370">
        <f t="shared" si="43"/>
        <v>62500</v>
      </c>
      <c r="J62" s="232"/>
      <c r="K62" s="370">
        <f t="shared" ref="K62:Q62" si="44">K61*$C$76</f>
        <v>250000</v>
      </c>
      <c r="L62" s="370">
        <f t="shared" si="44"/>
        <v>150000</v>
      </c>
      <c r="M62" s="370">
        <f t="shared" si="44"/>
        <v>90000</v>
      </c>
      <c r="N62" s="370">
        <f t="shared" si="44"/>
        <v>54000</v>
      </c>
      <c r="O62" s="370">
        <f t="shared" si="44"/>
        <v>32400</v>
      </c>
      <c r="P62" s="370">
        <f t="shared" si="44"/>
        <v>19440</v>
      </c>
      <c r="Q62" s="370">
        <f t="shared" si="44"/>
        <v>11664</v>
      </c>
    </row>
    <row r="63" spans="1:17">
      <c r="A63" s="368" t="str">
        <f>A57</f>
        <v>Accumulated Depreciation</v>
      </c>
      <c r="B63" s="368"/>
      <c r="C63" s="370">
        <f>C62</f>
        <v>62500</v>
      </c>
      <c r="D63" s="370">
        <f t="shared" ref="D63:I63" si="45">D62+C63</f>
        <v>125000</v>
      </c>
      <c r="E63" s="370">
        <f t="shared" si="45"/>
        <v>187500</v>
      </c>
      <c r="F63" s="370">
        <f t="shared" si="45"/>
        <v>250000</v>
      </c>
      <c r="G63" s="370">
        <f t="shared" si="45"/>
        <v>312500</v>
      </c>
      <c r="H63" s="370">
        <f t="shared" si="45"/>
        <v>375000</v>
      </c>
      <c r="I63" s="370">
        <f t="shared" si="45"/>
        <v>437500</v>
      </c>
      <c r="J63" s="232"/>
      <c r="K63" s="370">
        <f>K62</f>
        <v>250000</v>
      </c>
      <c r="L63" s="370">
        <f t="shared" ref="L63:Q63" si="46">L62+K63</f>
        <v>400000</v>
      </c>
      <c r="M63" s="370">
        <f t="shared" si="46"/>
        <v>490000</v>
      </c>
      <c r="N63" s="370">
        <f t="shared" si="46"/>
        <v>544000</v>
      </c>
      <c r="O63" s="370">
        <f t="shared" si="46"/>
        <v>576400</v>
      </c>
      <c r="P63" s="370">
        <f t="shared" si="46"/>
        <v>595840</v>
      </c>
      <c r="Q63" s="370">
        <f t="shared" si="46"/>
        <v>607504</v>
      </c>
    </row>
    <row r="64" spans="1:17">
      <c r="A64" s="368" t="str">
        <f>A58</f>
        <v>Net Fixed Assets</v>
      </c>
      <c r="B64" s="368"/>
      <c r="C64" s="370">
        <f t="shared" ref="C64:I64" si="47">C61-C62</f>
        <v>562500</v>
      </c>
      <c r="D64" s="370">
        <f t="shared" si="47"/>
        <v>500000</v>
      </c>
      <c r="E64" s="370">
        <f t="shared" si="47"/>
        <v>437500</v>
      </c>
      <c r="F64" s="370">
        <f t="shared" si="47"/>
        <v>375000</v>
      </c>
      <c r="G64" s="370">
        <f t="shared" si="47"/>
        <v>312500</v>
      </c>
      <c r="H64" s="370">
        <f t="shared" si="47"/>
        <v>250000</v>
      </c>
      <c r="I64" s="370">
        <f t="shared" si="47"/>
        <v>187500</v>
      </c>
      <c r="J64" s="232"/>
      <c r="K64" s="370">
        <f t="shared" ref="K64:Q64" si="48">K61-K62</f>
        <v>375000</v>
      </c>
      <c r="L64" s="370">
        <f t="shared" si="48"/>
        <v>225000</v>
      </c>
      <c r="M64" s="370">
        <f t="shared" si="48"/>
        <v>135000</v>
      </c>
      <c r="N64" s="370">
        <f t="shared" si="48"/>
        <v>81000</v>
      </c>
      <c r="O64" s="370">
        <f t="shared" si="48"/>
        <v>48600</v>
      </c>
      <c r="P64" s="370">
        <f t="shared" si="48"/>
        <v>29160</v>
      </c>
      <c r="Q64" s="370">
        <f t="shared" si="48"/>
        <v>17496</v>
      </c>
    </row>
    <row r="65" spans="1:17">
      <c r="A65" s="369" t="s">
        <v>180</v>
      </c>
      <c r="B65" s="369"/>
      <c r="C65" s="372">
        <f t="shared" ref="C65:I68" si="49">C49+C43+C37+C55+C61</f>
        <v>19126500</v>
      </c>
      <c r="D65" s="372">
        <f t="shared" si="49"/>
        <v>18038469.050000001</v>
      </c>
      <c r="E65" s="372">
        <f t="shared" si="49"/>
        <v>16950438.100000001</v>
      </c>
      <c r="F65" s="372">
        <f t="shared" si="49"/>
        <v>15862407.150000002</v>
      </c>
      <c r="G65" s="372">
        <f t="shared" si="49"/>
        <v>14774376.200000003</v>
      </c>
      <c r="H65" s="372">
        <f t="shared" si="49"/>
        <v>13686345.250000004</v>
      </c>
      <c r="I65" s="372">
        <f t="shared" si="49"/>
        <v>12598314.300000003</v>
      </c>
      <c r="J65" s="232"/>
      <c r="K65" s="372">
        <f t="shared" ref="K65:Q68" si="50">K49+K43+K37+K55+K61</f>
        <v>19126500</v>
      </c>
      <c r="L65" s="372">
        <f t="shared" si="50"/>
        <v>16445150</v>
      </c>
      <c r="M65" s="372">
        <f t="shared" si="50"/>
        <v>14194115</v>
      </c>
      <c r="N65" s="372">
        <f t="shared" si="50"/>
        <v>12287286.5</v>
      </c>
      <c r="O65" s="372">
        <f t="shared" si="50"/>
        <v>10661128.4</v>
      </c>
      <c r="P65" s="372">
        <f t="shared" si="50"/>
        <v>9267325.5274999999</v>
      </c>
      <c r="Q65" s="372">
        <f t="shared" si="50"/>
        <v>8068131.4471249999</v>
      </c>
    </row>
    <row r="66" spans="1:17">
      <c r="A66" s="369" t="s">
        <v>181</v>
      </c>
      <c r="B66" s="369"/>
      <c r="C66" s="372">
        <f t="shared" si="49"/>
        <v>1088030.95</v>
      </c>
      <c r="D66" s="372">
        <f t="shared" si="49"/>
        <v>1088030.95</v>
      </c>
      <c r="E66" s="372">
        <f t="shared" si="49"/>
        <v>1088030.95</v>
      </c>
      <c r="F66" s="372">
        <f t="shared" si="49"/>
        <v>1088030.95</v>
      </c>
      <c r="G66" s="372">
        <f t="shared" si="49"/>
        <v>1088030.95</v>
      </c>
      <c r="H66" s="372">
        <f t="shared" si="49"/>
        <v>1088030.95</v>
      </c>
      <c r="I66" s="372">
        <f t="shared" si="49"/>
        <v>1088030.95</v>
      </c>
      <c r="J66" s="232"/>
      <c r="K66" s="372">
        <f t="shared" si="50"/>
        <v>2681350</v>
      </c>
      <c r="L66" s="372">
        <f t="shared" si="50"/>
        <v>2251035</v>
      </c>
      <c r="M66" s="372">
        <f t="shared" si="50"/>
        <v>1906828.5</v>
      </c>
      <c r="N66" s="372">
        <f t="shared" si="50"/>
        <v>1626158.0999999999</v>
      </c>
      <c r="O66" s="372">
        <f t="shared" si="50"/>
        <v>1393802.8725000001</v>
      </c>
      <c r="P66" s="372">
        <f t="shared" si="50"/>
        <v>1199194.0803749999</v>
      </c>
      <c r="Q66" s="372">
        <f t="shared" si="50"/>
        <v>1034760.44319375</v>
      </c>
    </row>
    <row r="67" spans="1:17">
      <c r="A67" s="369" t="s">
        <v>182</v>
      </c>
      <c r="B67" s="369"/>
      <c r="C67" s="372">
        <f t="shared" si="49"/>
        <v>1088030.95</v>
      </c>
      <c r="D67" s="372">
        <f t="shared" si="49"/>
        <v>2176061.9</v>
      </c>
      <c r="E67" s="372">
        <f t="shared" si="49"/>
        <v>3264092.8499999996</v>
      </c>
      <c r="F67" s="372">
        <f t="shared" si="49"/>
        <v>4352123.8</v>
      </c>
      <c r="G67" s="372">
        <f t="shared" si="49"/>
        <v>5440154.75</v>
      </c>
      <c r="H67" s="372">
        <f t="shared" si="49"/>
        <v>6528185.7000000002</v>
      </c>
      <c r="I67" s="372">
        <f t="shared" si="49"/>
        <v>7616216.6500000004</v>
      </c>
      <c r="J67" s="232"/>
      <c r="K67" s="372">
        <f t="shared" si="50"/>
        <v>2681350</v>
      </c>
      <c r="L67" s="372">
        <f t="shared" si="50"/>
        <v>4932385</v>
      </c>
      <c r="M67" s="372">
        <f t="shared" si="50"/>
        <v>6839213.5</v>
      </c>
      <c r="N67" s="372">
        <f t="shared" si="50"/>
        <v>8465371.5999999996</v>
      </c>
      <c r="O67" s="372">
        <f t="shared" si="50"/>
        <v>9859174.4725000001</v>
      </c>
      <c r="P67" s="372">
        <f t="shared" si="50"/>
        <v>11058368.552875001</v>
      </c>
      <c r="Q67" s="372">
        <f t="shared" si="50"/>
        <v>12093128.99606875</v>
      </c>
    </row>
    <row r="68" spans="1:17">
      <c r="A68" s="369" t="s">
        <v>175</v>
      </c>
      <c r="B68" s="369"/>
      <c r="C68" s="372">
        <f t="shared" si="49"/>
        <v>18038469.050000001</v>
      </c>
      <c r="D68" s="372">
        <f t="shared" si="49"/>
        <v>16950438.100000001</v>
      </c>
      <c r="E68" s="372">
        <f t="shared" si="49"/>
        <v>15862407.150000002</v>
      </c>
      <c r="F68" s="372">
        <f t="shared" si="49"/>
        <v>14774376.200000003</v>
      </c>
      <c r="G68" s="372">
        <f t="shared" si="49"/>
        <v>13686345.250000004</v>
      </c>
      <c r="H68" s="372">
        <f t="shared" si="49"/>
        <v>12598314.300000003</v>
      </c>
      <c r="I68" s="372">
        <f t="shared" si="49"/>
        <v>11510283.350000001</v>
      </c>
      <c r="J68" s="232"/>
      <c r="K68" s="372">
        <f t="shared" si="50"/>
        <v>16445150</v>
      </c>
      <c r="L68" s="372">
        <f t="shared" si="50"/>
        <v>14194115</v>
      </c>
      <c r="M68" s="372">
        <f t="shared" si="50"/>
        <v>12287286.5</v>
      </c>
      <c r="N68" s="372">
        <f t="shared" si="50"/>
        <v>10661128.4</v>
      </c>
      <c r="O68" s="372">
        <f t="shared" si="50"/>
        <v>9267325.5274999999</v>
      </c>
      <c r="P68" s="372">
        <f t="shared" si="50"/>
        <v>8068131.4471249999</v>
      </c>
      <c r="Q68" s="372">
        <f t="shared" si="50"/>
        <v>7033371.0039312495</v>
      </c>
    </row>
    <row r="69" spans="1:17">
      <c r="A69" s="373"/>
      <c r="B69" s="373"/>
      <c r="C69" s="374"/>
      <c r="D69" s="374"/>
      <c r="E69" s="374"/>
      <c r="F69" s="374"/>
      <c r="G69" s="374"/>
      <c r="H69" s="374"/>
      <c r="I69" s="374"/>
    </row>
    <row r="71" spans="1:17" ht="30">
      <c r="A71" s="375" t="s">
        <v>183</v>
      </c>
      <c r="B71" s="376" t="s">
        <v>184</v>
      </c>
      <c r="C71" s="377" t="s">
        <v>185</v>
      </c>
    </row>
    <row r="72" spans="1:17" ht="30">
      <c r="A72" s="378" t="s">
        <v>186</v>
      </c>
      <c r="B72" s="376" t="s">
        <v>187</v>
      </c>
      <c r="C72" s="377" t="s">
        <v>188</v>
      </c>
    </row>
    <row r="73" spans="1:17">
      <c r="A73" s="378" t="s">
        <v>118</v>
      </c>
      <c r="B73" s="379">
        <v>0</v>
      </c>
      <c r="C73" s="379">
        <v>0</v>
      </c>
    </row>
    <row r="74" spans="1:17">
      <c r="A74" s="380" t="s">
        <v>171</v>
      </c>
      <c r="B74" s="379">
        <v>3.1699999999999999E-2</v>
      </c>
      <c r="C74" s="379">
        <v>0.1</v>
      </c>
      <c r="D74" s="254"/>
    </row>
    <row r="75" spans="1:17">
      <c r="A75" s="380" t="s">
        <v>177</v>
      </c>
      <c r="B75" s="381">
        <v>0.1</v>
      </c>
      <c r="C75" s="379">
        <v>0.1</v>
      </c>
    </row>
    <row r="76" spans="1:17">
      <c r="A76" s="220" t="s">
        <v>189</v>
      </c>
      <c r="B76" s="381">
        <v>0.1</v>
      </c>
      <c r="C76" s="381">
        <v>0.4</v>
      </c>
    </row>
    <row r="77" spans="1:17">
      <c r="A77" s="220" t="s">
        <v>190</v>
      </c>
      <c r="B77" s="381">
        <v>0.1188</v>
      </c>
      <c r="C77" s="381">
        <v>0.15</v>
      </c>
    </row>
    <row r="78" spans="1:17">
      <c r="A78" s="380" t="s">
        <v>191</v>
      </c>
      <c r="B78" s="381">
        <v>6.3299999999999995E-2</v>
      </c>
      <c r="C78" s="381">
        <v>0.15</v>
      </c>
    </row>
    <row r="79" spans="1:17" ht="30">
      <c r="A79" s="378" t="s">
        <v>183</v>
      </c>
      <c r="B79" s="379"/>
      <c r="C79" s="382"/>
    </row>
    <row r="80" spans="1:17">
      <c r="A80" s="380" t="s">
        <v>192</v>
      </c>
      <c r="B80" s="382">
        <v>0.2</v>
      </c>
      <c r="C80" s="383">
        <v>0.2</v>
      </c>
    </row>
    <row r="82" spans="1:12">
      <c r="E82" s="263"/>
    </row>
    <row r="83" spans="1:12" s="304" customFormat="1">
      <c r="A83" s="415" t="s">
        <v>193</v>
      </c>
      <c r="B83" s="415"/>
      <c r="C83" s="415"/>
      <c r="D83" s="415"/>
      <c r="E83" s="415"/>
      <c r="F83" s="415"/>
      <c r="G83" s="415"/>
      <c r="H83" s="415"/>
      <c r="I83" s="415"/>
      <c r="J83" s="415"/>
    </row>
    <row r="84" spans="1:12" s="304" customFormat="1">
      <c r="A84" s="384"/>
      <c r="B84" s="384"/>
    </row>
    <row r="85" spans="1:12" s="304" customFormat="1">
      <c r="A85" s="184" t="s">
        <v>145</v>
      </c>
      <c r="B85" s="185" t="s">
        <v>194</v>
      </c>
      <c r="C85" s="385" t="s">
        <v>148</v>
      </c>
      <c r="D85" s="385" t="s">
        <v>149</v>
      </c>
      <c r="E85" s="385" t="s">
        <v>150</v>
      </c>
      <c r="F85" s="385" t="s">
        <v>151</v>
      </c>
      <c r="G85" s="385" t="s">
        <v>152</v>
      </c>
      <c r="H85" s="385" t="s">
        <v>153</v>
      </c>
      <c r="I85" s="385" t="s">
        <v>154</v>
      </c>
      <c r="J85" s="386"/>
      <c r="K85" s="386"/>
      <c r="L85" s="386"/>
    </row>
    <row r="86" spans="1:12" s="304" customFormat="1">
      <c r="A86" s="186" t="s">
        <v>141</v>
      </c>
      <c r="B86" s="187">
        <v>5</v>
      </c>
      <c r="C86" s="387">
        <f>'1.Project Cost and MOF'!$D$10/5</f>
        <v>184600</v>
      </c>
      <c r="D86" s="387">
        <f>'1.Project Cost and MOF'!$D$10/5</f>
        <v>184600</v>
      </c>
      <c r="E86" s="387">
        <f>'1.Project Cost and MOF'!$D$10/5</f>
        <v>184600</v>
      </c>
      <c r="F86" s="387">
        <f>'1.Project Cost and MOF'!$D$10/5</f>
        <v>184600</v>
      </c>
      <c r="G86" s="387">
        <f>'1.Project Cost and MOF'!$D$10/5</f>
        <v>184600</v>
      </c>
      <c r="H86" s="387">
        <v>0</v>
      </c>
      <c r="I86" s="387">
        <v>0</v>
      </c>
      <c r="J86" s="386"/>
      <c r="K86" s="386"/>
      <c r="L86" s="386"/>
    </row>
    <row r="87" spans="1:12" s="304" customFormat="1">
      <c r="A87" s="186" t="s">
        <v>195</v>
      </c>
      <c r="B87" s="302"/>
      <c r="C87" s="388">
        <f t="shared" ref="C87:I87" si="51">SUM(C85:C86)</f>
        <v>184600</v>
      </c>
      <c r="D87" s="388">
        <f t="shared" si="51"/>
        <v>184600</v>
      </c>
      <c r="E87" s="388">
        <f t="shared" si="51"/>
        <v>184600</v>
      </c>
      <c r="F87" s="388">
        <f t="shared" si="51"/>
        <v>184600</v>
      </c>
      <c r="G87" s="388">
        <f t="shared" si="51"/>
        <v>184600</v>
      </c>
      <c r="H87" s="388">
        <f t="shared" si="51"/>
        <v>0</v>
      </c>
      <c r="I87" s="388">
        <f t="shared" si="51"/>
        <v>0</v>
      </c>
      <c r="J87" s="389"/>
      <c r="K87" s="389"/>
      <c r="L87" s="389"/>
    </row>
    <row r="88" spans="1:12" s="304" customFormat="1">
      <c r="C88" s="386"/>
      <c r="D88" s="386"/>
      <c r="E88" s="386"/>
      <c r="F88" s="386"/>
      <c r="G88" s="386"/>
      <c r="H88" s="386"/>
      <c r="I88" s="386"/>
      <c r="J88" s="386"/>
      <c r="K88" s="386"/>
      <c r="L88" s="386"/>
    </row>
    <row r="91" spans="1:12">
      <c r="A91" s="390"/>
      <c r="B91" s="148"/>
      <c r="C91" s="148"/>
      <c r="D91" s="148"/>
      <c r="E91" s="148"/>
      <c r="F91" s="148"/>
      <c r="G91" s="148"/>
      <c r="H91" s="148"/>
      <c r="I91" s="148"/>
      <c r="J91" s="148"/>
      <c r="K91" s="148"/>
    </row>
    <row r="92" spans="1:12">
      <c r="A92" s="425" t="s">
        <v>196</v>
      </c>
      <c r="B92" s="425"/>
      <c r="C92" s="425"/>
      <c r="D92" s="425"/>
      <c r="E92" s="425"/>
      <c r="F92" s="425"/>
      <c r="G92" s="425"/>
      <c r="H92" s="425"/>
      <c r="I92" s="361"/>
      <c r="J92" s="361"/>
      <c r="K92" s="361"/>
    </row>
    <row r="93" spans="1:12">
      <c r="A93" s="384"/>
      <c r="B93" s="148"/>
      <c r="C93" s="148"/>
      <c r="D93" s="148"/>
      <c r="E93" s="148"/>
      <c r="F93" s="148"/>
      <c r="G93" s="148"/>
      <c r="H93" s="148"/>
      <c r="I93" s="148"/>
      <c r="J93" s="148"/>
      <c r="K93" s="148"/>
    </row>
    <row r="94" spans="1:12">
      <c r="A94" s="246" t="s">
        <v>145</v>
      </c>
      <c r="B94" s="247" t="s">
        <v>148</v>
      </c>
      <c r="C94" s="247" t="s">
        <v>149</v>
      </c>
      <c r="D94" s="247" t="s">
        <v>150</v>
      </c>
      <c r="E94" s="247" t="s">
        <v>151</v>
      </c>
      <c r="F94" s="247" t="s">
        <v>152</v>
      </c>
      <c r="G94" s="247" t="s">
        <v>153</v>
      </c>
      <c r="H94" s="247" t="s">
        <v>154</v>
      </c>
      <c r="I94" s="391"/>
      <c r="J94" s="391"/>
      <c r="K94" s="391"/>
    </row>
    <row r="95" spans="1:12">
      <c r="A95" s="287" t="s">
        <v>197</v>
      </c>
      <c r="B95" s="188">
        <f>'6.Cons Profit &amp; Loss'!B49</f>
        <v>1328901.4039205913</v>
      </c>
      <c r="C95" s="188">
        <f>'6.Cons Profit &amp; Loss'!C49</f>
        <v>2105293.4381493814</v>
      </c>
      <c r="D95" s="188">
        <f>'6.Cons Profit &amp; Loss'!D49</f>
        <v>2964448.545234031</v>
      </c>
      <c r="E95" s="188">
        <f>'6.Cons Profit &amp; Loss'!E49</f>
        <v>3896658.7135525625</v>
      </c>
      <c r="F95" s="188">
        <f>'6.Cons Profit &amp; Loss'!F49</f>
        <v>4907369.0304130632</v>
      </c>
      <c r="G95" s="188">
        <f>'6.Cons Profit &amp; Loss'!G49</f>
        <v>6090935.6573941205</v>
      </c>
      <c r="H95" s="188">
        <f>'6.Cons Profit &amp; Loss'!H49</f>
        <v>7054473.8581057843</v>
      </c>
      <c r="I95" s="189"/>
      <c r="J95" s="189"/>
      <c r="K95" s="189"/>
    </row>
    <row r="96" spans="1:12">
      <c r="A96" s="287" t="s">
        <v>198</v>
      </c>
      <c r="B96" s="188">
        <f>'6.Cons Profit &amp; Loss'!B42</f>
        <v>1088030.95</v>
      </c>
      <c r="C96" s="188">
        <f>'6.Cons Profit &amp; Loss'!C42</f>
        <v>1088030.95</v>
      </c>
      <c r="D96" s="188">
        <f>'6.Cons Profit &amp; Loss'!D42</f>
        <v>1088030.95</v>
      </c>
      <c r="E96" s="188">
        <f>'6.Cons Profit &amp; Loss'!E42</f>
        <v>1088030.95</v>
      </c>
      <c r="F96" s="188">
        <f>'6.Cons Profit &amp; Loss'!F42</f>
        <v>1088030.95</v>
      </c>
      <c r="G96" s="188">
        <f>'6.Cons Profit &amp; Loss'!G42</f>
        <v>1088030.95</v>
      </c>
      <c r="H96" s="188">
        <f>'6.Cons Profit &amp; Loss'!H42</f>
        <v>1088030.95</v>
      </c>
      <c r="I96" s="189"/>
      <c r="J96" s="189"/>
      <c r="K96" s="189"/>
    </row>
    <row r="97" spans="1:11">
      <c r="A97" s="287" t="s">
        <v>199</v>
      </c>
      <c r="B97" s="188">
        <f>'3.Other Exp &amp; Taxes'!K66</f>
        <v>2681350</v>
      </c>
      <c r="C97" s="188">
        <f>'3.Other Exp &amp; Taxes'!L66</f>
        <v>2251035</v>
      </c>
      <c r="D97" s="188">
        <f>'3.Other Exp &amp; Taxes'!M66</f>
        <v>1906828.5</v>
      </c>
      <c r="E97" s="188">
        <f>'3.Other Exp &amp; Taxes'!N66</f>
        <v>1626158.0999999999</v>
      </c>
      <c r="F97" s="188">
        <f>'3.Other Exp &amp; Taxes'!O66</f>
        <v>1393802.8725000001</v>
      </c>
      <c r="G97" s="188">
        <f>'3.Other Exp &amp; Taxes'!P66</f>
        <v>1199194.0803749999</v>
      </c>
      <c r="H97" s="188">
        <f>'3.Other Exp &amp; Taxes'!Q66</f>
        <v>1034760.44319375</v>
      </c>
      <c r="I97" s="189"/>
      <c r="J97" s="189"/>
      <c r="K97" s="189"/>
    </row>
    <row r="98" spans="1:11">
      <c r="A98" s="287" t="s">
        <v>200</v>
      </c>
      <c r="B98" s="188">
        <f t="shared" ref="B98:H98" si="52">B95+B96-B97</f>
        <v>-264417.64607940894</v>
      </c>
      <c r="C98" s="188">
        <f t="shared" si="52"/>
        <v>942289.38814938162</v>
      </c>
      <c r="D98" s="188">
        <f t="shared" si="52"/>
        <v>2145650.9952340312</v>
      </c>
      <c r="E98" s="188">
        <f t="shared" si="52"/>
        <v>3358531.5635525631</v>
      </c>
      <c r="F98" s="188">
        <f t="shared" si="52"/>
        <v>4601597.1079130638</v>
      </c>
      <c r="G98" s="188">
        <f t="shared" si="52"/>
        <v>5979772.5270191208</v>
      </c>
      <c r="H98" s="188">
        <f t="shared" si="52"/>
        <v>7107744.3649120349</v>
      </c>
      <c r="I98" s="189"/>
      <c r="J98" s="189"/>
      <c r="K98" s="189"/>
    </row>
    <row r="99" spans="1:11">
      <c r="A99" s="289" t="s">
        <v>201</v>
      </c>
      <c r="B99" s="190">
        <f>IF((B98*$B$102)&gt;0,B98*$B$102,0)</f>
        <v>0</v>
      </c>
      <c r="C99" s="190">
        <f t="shared" ref="C99:H99" si="53">IF((C98*$B$102)&gt;0,C98*$B$102,0)</f>
        <v>244995.24091883923</v>
      </c>
      <c r="D99" s="190">
        <f t="shared" si="53"/>
        <v>557869.25876084808</v>
      </c>
      <c r="E99" s="190">
        <f t="shared" si="53"/>
        <v>873218.20652366639</v>
      </c>
      <c r="F99" s="190">
        <f t="shared" si="53"/>
        <v>1196415.2480573966</v>
      </c>
      <c r="G99" s="190">
        <f t="shared" si="53"/>
        <v>1554740.8570249714</v>
      </c>
      <c r="H99" s="190">
        <f t="shared" si="53"/>
        <v>1848013.5348771291</v>
      </c>
      <c r="I99" s="189"/>
      <c r="J99" s="189"/>
      <c r="K99" s="189"/>
    </row>
    <row r="100" spans="1:11">
      <c r="A100" s="392"/>
      <c r="B100" s="148"/>
      <c r="C100" s="148"/>
      <c r="D100" s="148"/>
      <c r="E100" s="148"/>
      <c r="F100" s="148"/>
      <c r="G100" s="148"/>
      <c r="H100" s="148"/>
      <c r="I100" s="148"/>
      <c r="J100" s="148"/>
      <c r="K100" s="148"/>
    </row>
    <row r="101" spans="1:11">
      <c r="A101" s="392"/>
      <c r="B101" s="386"/>
      <c r="C101" s="386"/>
      <c r="D101" s="386"/>
      <c r="E101" s="386"/>
      <c r="F101" s="386"/>
      <c r="G101" s="386"/>
      <c r="H101" s="386"/>
      <c r="I101" s="386"/>
      <c r="J101" s="386"/>
      <c r="K101" s="386"/>
    </row>
    <row r="102" spans="1:11">
      <c r="A102" s="393" t="s">
        <v>202</v>
      </c>
      <c r="B102" s="394">
        <v>0.26</v>
      </c>
      <c r="C102" s="386"/>
      <c r="D102" s="386"/>
      <c r="E102" s="386"/>
      <c r="F102" s="386"/>
      <c r="G102" s="386"/>
      <c r="H102" s="386"/>
      <c r="I102" s="386"/>
      <c r="J102" s="386"/>
      <c r="K102" s="386"/>
    </row>
    <row r="103" spans="1:11">
      <c r="A103" s="148"/>
      <c r="B103" s="148"/>
      <c r="C103" s="148"/>
      <c r="D103" s="148"/>
      <c r="E103" s="148"/>
      <c r="F103" s="148"/>
      <c r="G103" s="148"/>
      <c r="H103" s="148"/>
      <c r="I103" s="148"/>
      <c r="J103" s="148"/>
      <c r="K103" s="148"/>
    </row>
    <row r="104" spans="1:11" ht="29.1" customHeight="1">
      <c r="A104" s="420" t="s">
        <v>203</v>
      </c>
      <c r="B104" s="420"/>
      <c r="C104" s="420"/>
      <c r="D104" s="420"/>
      <c r="E104" s="420"/>
      <c r="F104" s="420"/>
      <c r="G104" s="420"/>
      <c r="H104" s="420"/>
      <c r="I104" s="374"/>
      <c r="J104" s="374"/>
      <c r="K104" s="374"/>
    </row>
  </sheetData>
  <mergeCells count="8">
    <mergeCell ref="A83:J83"/>
    <mergeCell ref="A92:H92"/>
    <mergeCell ref="A104:H104"/>
    <mergeCell ref="A2:K2"/>
    <mergeCell ref="A28:O28"/>
    <mergeCell ref="C31:I31"/>
    <mergeCell ref="K31:Q31"/>
    <mergeCell ref="A29:I2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I98"/>
  <sheetViews>
    <sheetView view="pageBreakPreview" topLeftCell="A52" zoomScale="80" workbookViewId="0">
      <selection activeCell="E5" sqref="E5"/>
    </sheetView>
  </sheetViews>
  <sheetFormatPr defaultColWidth="9" defaultRowHeight="15"/>
  <cols>
    <col min="1" max="1" width="9" style="220"/>
    <col min="2" max="2" width="15.42578125" style="220" customWidth="1"/>
    <col min="3" max="3" width="28.140625" style="220" customWidth="1"/>
    <col min="4" max="4" width="14.7109375" style="220" customWidth="1"/>
    <col min="5" max="5" width="25.85546875" style="220" customWidth="1"/>
    <col min="6" max="6" width="12.140625" style="220" customWidth="1"/>
    <col min="7" max="7" width="27.28515625" style="220" customWidth="1"/>
    <col min="8" max="8" width="12.28515625" style="220" customWidth="1"/>
    <col min="9" max="9" width="11.7109375" style="220" customWidth="1"/>
    <col min="10" max="16384" width="9" style="220"/>
  </cols>
  <sheetData>
    <row r="2" spans="1:7">
      <c r="A2" s="416" t="s">
        <v>204</v>
      </c>
      <c r="B2" s="416"/>
      <c r="C2" s="416"/>
      <c r="D2" s="416"/>
      <c r="E2" s="416"/>
      <c r="F2" s="416"/>
      <c r="G2" s="427"/>
    </row>
    <row r="3" spans="1:7">
      <c r="B3" s="354"/>
      <c r="C3" s="354"/>
      <c r="D3" s="354"/>
      <c r="E3" s="354"/>
      <c r="F3" s="354"/>
      <c r="G3" s="354"/>
    </row>
    <row r="4" spans="1:7">
      <c r="C4" s="220" t="s">
        <v>205</v>
      </c>
      <c r="D4" s="303">
        <f>'1.Project Cost and MOF'!E20</f>
        <v>10500577.747231664</v>
      </c>
    </row>
    <row r="5" spans="1:7">
      <c r="C5" s="220" t="s">
        <v>206</v>
      </c>
      <c r="D5" s="355">
        <v>0.09</v>
      </c>
    </row>
    <row r="6" spans="1:7">
      <c r="C6" s="220" t="s">
        <v>207</v>
      </c>
      <c r="D6" s="356">
        <v>7</v>
      </c>
    </row>
    <row r="7" spans="1:7">
      <c r="C7" s="220" t="s">
        <v>208</v>
      </c>
      <c r="D7" s="356">
        <v>12</v>
      </c>
    </row>
    <row r="8" spans="1:7">
      <c r="C8" s="220" t="s">
        <v>209</v>
      </c>
      <c r="D8" s="357">
        <f>PMT(D5/12,(D6-(D7/12))*12,-D4)</f>
        <v>189278.55447105085</v>
      </c>
      <c r="E8" s="357"/>
      <c r="F8" s="358"/>
    </row>
    <row r="9" spans="1:7">
      <c r="A9" s="246" t="s">
        <v>210</v>
      </c>
      <c r="B9" s="359" t="s">
        <v>211</v>
      </c>
      <c r="C9" s="360" t="s">
        <v>212</v>
      </c>
      <c r="D9" s="360" t="s">
        <v>213</v>
      </c>
      <c r="E9" s="360" t="s">
        <v>214</v>
      </c>
      <c r="F9" s="360" t="s">
        <v>209</v>
      </c>
      <c r="G9" s="360" t="s">
        <v>215</v>
      </c>
    </row>
    <row r="10" spans="1:7">
      <c r="A10" s="223" t="s">
        <v>216</v>
      </c>
      <c r="B10" s="223" t="s">
        <v>217</v>
      </c>
      <c r="C10" s="230">
        <f>D4</f>
        <v>10500577.747231664</v>
      </c>
      <c r="D10" s="230">
        <f t="shared" ref="D10:D41" si="0">C10*$D$5/12</f>
        <v>78754.333104237478</v>
      </c>
      <c r="E10" s="230">
        <f t="shared" ref="E10:E21" si="1">F10-D10</f>
        <v>0</v>
      </c>
      <c r="F10" s="230">
        <f>D10</f>
        <v>78754.333104237478</v>
      </c>
      <c r="G10" s="230">
        <f>C10-E10</f>
        <v>10500577.747231664</v>
      </c>
    </row>
    <row r="11" spans="1:7">
      <c r="A11" s="223"/>
      <c r="B11" s="223" t="s">
        <v>218</v>
      </c>
      <c r="C11" s="230">
        <f>G10</f>
        <v>10500577.747231664</v>
      </c>
      <c r="D11" s="230">
        <f t="shared" si="0"/>
        <v>78754.333104237478</v>
      </c>
      <c r="E11" s="230">
        <f t="shared" si="1"/>
        <v>0</v>
      </c>
      <c r="F11" s="230">
        <f t="shared" ref="F11:F15" si="2">D11</f>
        <v>78754.333104237478</v>
      </c>
      <c r="G11" s="230">
        <f t="shared" ref="G11:G74" si="3">C11-E11</f>
        <v>10500577.747231664</v>
      </c>
    </row>
    <row r="12" spans="1:7">
      <c r="A12" s="223"/>
      <c r="B12" s="223" t="s">
        <v>219</v>
      </c>
      <c r="C12" s="230">
        <f t="shared" ref="C12:C75" si="4">G11</f>
        <v>10500577.747231664</v>
      </c>
      <c r="D12" s="230">
        <f t="shared" si="0"/>
        <v>78754.333104237478</v>
      </c>
      <c r="E12" s="230">
        <f t="shared" si="1"/>
        <v>0</v>
      </c>
      <c r="F12" s="230">
        <f t="shared" si="2"/>
        <v>78754.333104237478</v>
      </c>
      <c r="G12" s="230">
        <f t="shared" si="3"/>
        <v>10500577.747231664</v>
      </c>
    </row>
    <row r="13" spans="1:7">
      <c r="A13" s="223"/>
      <c r="B13" s="223" t="s">
        <v>220</v>
      </c>
      <c r="C13" s="230">
        <f t="shared" si="4"/>
        <v>10500577.747231664</v>
      </c>
      <c r="D13" s="230">
        <f t="shared" si="0"/>
        <v>78754.333104237478</v>
      </c>
      <c r="E13" s="230">
        <f t="shared" si="1"/>
        <v>0</v>
      </c>
      <c r="F13" s="230">
        <f t="shared" si="2"/>
        <v>78754.333104237478</v>
      </c>
      <c r="G13" s="230">
        <f t="shared" si="3"/>
        <v>10500577.747231664</v>
      </c>
    </row>
    <row r="14" spans="1:7">
      <c r="A14" s="223"/>
      <c r="B14" s="223" t="s">
        <v>221</v>
      </c>
      <c r="C14" s="230">
        <f t="shared" si="4"/>
        <v>10500577.747231664</v>
      </c>
      <c r="D14" s="230">
        <f t="shared" si="0"/>
        <v>78754.333104237478</v>
      </c>
      <c r="E14" s="230">
        <f t="shared" si="1"/>
        <v>0</v>
      </c>
      <c r="F14" s="230">
        <f t="shared" si="2"/>
        <v>78754.333104237478</v>
      </c>
      <c r="G14" s="230">
        <f t="shared" si="3"/>
        <v>10500577.747231664</v>
      </c>
    </row>
    <row r="15" spans="1:7">
      <c r="A15" s="223"/>
      <c r="B15" s="223" t="s">
        <v>222</v>
      </c>
      <c r="C15" s="230">
        <f t="shared" si="4"/>
        <v>10500577.747231664</v>
      </c>
      <c r="D15" s="230">
        <f t="shared" si="0"/>
        <v>78754.333104237478</v>
      </c>
      <c r="E15" s="230">
        <f t="shared" si="1"/>
        <v>0</v>
      </c>
      <c r="F15" s="230">
        <f t="shared" si="2"/>
        <v>78754.333104237478</v>
      </c>
      <c r="G15" s="230">
        <f t="shared" si="3"/>
        <v>10500577.747231664</v>
      </c>
    </row>
    <row r="16" spans="1:7">
      <c r="A16" s="223"/>
      <c r="B16" s="223" t="s">
        <v>223</v>
      </c>
      <c r="C16" s="230">
        <f t="shared" si="4"/>
        <v>10500577.747231664</v>
      </c>
      <c r="D16" s="230">
        <f t="shared" si="0"/>
        <v>78754.333104237478</v>
      </c>
      <c r="E16" s="230">
        <f t="shared" si="1"/>
        <v>110524.22136681338</v>
      </c>
      <c r="F16" s="230">
        <f t="shared" ref="F16:F21" si="5">$D$8</f>
        <v>189278.55447105085</v>
      </c>
      <c r="G16" s="230">
        <f t="shared" si="3"/>
        <v>10390053.525864851</v>
      </c>
    </row>
    <row r="17" spans="1:9">
      <c r="A17" s="223"/>
      <c r="B17" s="223" t="s">
        <v>224</v>
      </c>
      <c r="C17" s="230">
        <f t="shared" si="4"/>
        <v>10390053.525864851</v>
      </c>
      <c r="D17" s="230">
        <f t="shared" si="0"/>
        <v>77925.401443986382</v>
      </c>
      <c r="E17" s="230">
        <f t="shared" si="1"/>
        <v>111353.15302706447</v>
      </c>
      <c r="F17" s="230">
        <f t="shared" si="5"/>
        <v>189278.55447105085</v>
      </c>
      <c r="G17" s="230">
        <f t="shared" si="3"/>
        <v>10278700.372837786</v>
      </c>
    </row>
    <row r="18" spans="1:9">
      <c r="A18" s="223"/>
      <c r="B18" s="223" t="s">
        <v>225</v>
      </c>
      <c r="C18" s="230">
        <f t="shared" si="4"/>
        <v>10278700.372837786</v>
      </c>
      <c r="D18" s="230">
        <f t="shared" si="0"/>
        <v>77090.252796283385</v>
      </c>
      <c r="E18" s="230">
        <f t="shared" si="1"/>
        <v>112188.30167476747</v>
      </c>
      <c r="F18" s="230">
        <f t="shared" si="5"/>
        <v>189278.55447105085</v>
      </c>
      <c r="G18" s="230">
        <f t="shared" si="3"/>
        <v>10166512.071163017</v>
      </c>
    </row>
    <row r="19" spans="1:9">
      <c r="A19" s="223"/>
      <c r="B19" s="223" t="s">
        <v>226</v>
      </c>
      <c r="C19" s="230">
        <f t="shared" si="4"/>
        <v>10166512.071163017</v>
      </c>
      <c r="D19" s="230">
        <f t="shared" si="0"/>
        <v>76248.840533722629</v>
      </c>
      <c r="E19" s="230">
        <f t="shared" si="1"/>
        <v>113029.71393732823</v>
      </c>
      <c r="F19" s="230">
        <f t="shared" si="5"/>
        <v>189278.55447105085</v>
      </c>
      <c r="G19" s="230">
        <f t="shared" si="3"/>
        <v>10053482.357225688</v>
      </c>
    </row>
    <row r="20" spans="1:9">
      <c r="A20" s="223"/>
      <c r="B20" s="223" t="s">
        <v>227</v>
      </c>
      <c r="C20" s="230">
        <f t="shared" si="4"/>
        <v>10053482.357225688</v>
      </c>
      <c r="D20" s="230">
        <f t="shared" si="0"/>
        <v>75401.117679192655</v>
      </c>
      <c r="E20" s="230">
        <f>F20-D20</f>
        <v>113877.4367918582</v>
      </c>
      <c r="F20" s="230">
        <f t="shared" si="5"/>
        <v>189278.55447105085</v>
      </c>
      <c r="G20" s="230">
        <f t="shared" si="3"/>
        <v>9939604.9204338305</v>
      </c>
    </row>
    <row r="21" spans="1:9">
      <c r="A21" s="223"/>
      <c r="B21" s="223" t="s">
        <v>228</v>
      </c>
      <c r="C21" s="230">
        <f t="shared" si="4"/>
        <v>9939604.9204338305</v>
      </c>
      <c r="D21" s="230">
        <f t="shared" si="0"/>
        <v>74547.036903253727</v>
      </c>
      <c r="E21" s="230">
        <f t="shared" si="1"/>
        <v>114731.51756779713</v>
      </c>
      <c r="F21" s="230">
        <f t="shared" si="5"/>
        <v>189278.55447105085</v>
      </c>
      <c r="G21" s="230">
        <f t="shared" si="3"/>
        <v>9824873.4028660338</v>
      </c>
      <c r="H21" s="314"/>
      <c r="I21" s="314"/>
    </row>
    <row r="22" spans="1:9">
      <c r="A22" s="223" t="s">
        <v>229</v>
      </c>
      <c r="B22" s="223" t="s">
        <v>230</v>
      </c>
      <c r="C22" s="230">
        <f t="shared" si="4"/>
        <v>9824873.4028660338</v>
      </c>
      <c r="D22" s="230">
        <f t="shared" si="0"/>
        <v>73686.550521495243</v>
      </c>
      <c r="E22" s="230">
        <f t="shared" ref="E22:E80" si="6">F22-D22</f>
        <v>115592.00394955561</v>
      </c>
      <c r="F22" s="230">
        <f t="shared" ref="F22:F69" si="7">$D$8</f>
        <v>189278.55447105085</v>
      </c>
      <c r="G22" s="230">
        <f t="shared" si="3"/>
        <v>9709281.3989164773</v>
      </c>
    </row>
    <row r="23" spans="1:9">
      <c r="A23" s="223"/>
      <c r="B23" s="223" t="s">
        <v>231</v>
      </c>
      <c r="C23" s="230">
        <f t="shared" si="4"/>
        <v>9709281.3989164773</v>
      </c>
      <c r="D23" s="230">
        <f t="shared" si="0"/>
        <v>72819.61049187358</v>
      </c>
      <c r="E23" s="230">
        <f t="shared" si="6"/>
        <v>116458.94397917727</v>
      </c>
      <c r="F23" s="230">
        <f t="shared" si="7"/>
        <v>189278.55447105085</v>
      </c>
      <c r="G23" s="230">
        <f t="shared" si="3"/>
        <v>9592822.4549372997</v>
      </c>
    </row>
    <row r="24" spans="1:9">
      <c r="A24" s="223"/>
      <c r="B24" s="223" t="s">
        <v>232</v>
      </c>
      <c r="C24" s="230">
        <f t="shared" si="4"/>
        <v>9592822.4549372997</v>
      </c>
      <c r="D24" s="230">
        <f t="shared" si="0"/>
        <v>71946.168412029743</v>
      </c>
      <c r="E24" s="230">
        <f t="shared" si="6"/>
        <v>117332.38605902111</v>
      </c>
      <c r="F24" s="230">
        <f t="shared" si="7"/>
        <v>189278.55447105085</v>
      </c>
      <c r="G24" s="230">
        <f t="shared" si="3"/>
        <v>9475490.0688782781</v>
      </c>
    </row>
    <row r="25" spans="1:9">
      <c r="A25" s="223"/>
      <c r="B25" s="223" t="s">
        <v>233</v>
      </c>
      <c r="C25" s="230">
        <f t="shared" si="4"/>
        <v>9475490.0688782781</v>
      </c>
      <c r="D25" s="230">
        <f t="shared" si="0"/>
        <v>71066.175516587085</v>
      </c>
      <c r="E25" s="230">
        <f t="shared" si="6"/>
        <v>118212.37895446377</v>
      </c>
      <c r="F25" s="230">
        <f t="shared" si="7"/>
        <v>189278.55447105085</v>
      </c>
      <c r="G25" s="230">
        <f t="shared" si="3"/>
        <v>9357277.6899238136</v>
      </c>
    </row>
    <row r="26" spans="1:9">
      <c r="A26" s="223"/>
      <c r="B26" s="223" t="s">
        <v>234</v>
      </c>
      <c r="C26" s="230">
        <f t="shared" si="4"/>
        <v>9357277.6899238136</v>
      </c>
      <c r="D26" s="230">
        <f t="shared" si="0"/>
        <v>70179.582674428602</v>
      </c>
      <c r="E26" s="230">
        <f t="shared" si="6"/>
        <v>119098.97179662225</v>
      </c>
      <c r="F26" s="230">
        <f t="shared" si="7"/>
        <v>189278.55447105085</v>
      </c>
      <c r="G26" s="230">
        <f t="shared" si="3"/>
        <v>9238178.7181271911</v>
      </c>
    </row>
    <row r="27" spans="1:9">
      <c r="A27" s="223"/>
      <c r="B27" s="223" t="s">
        <v>235</v>
      </c>
      <c r="C27" s="230">
        <f t="shared" si="4"/>
        <v>9238178.7181271911</v>
      </c>
      <c r="D27" s="230">
        <f t="shared" si="0"/>
        <v>69286.340385953939</v>
      </c>
      <c r="E27" s="230">
        <f t="shared" si="6"/>
        <v>119992.21408509692</v>
      </c>
      <c r="F27" s="230">
        <f t="shared" si="7"/>
        <v>189278.55447105085</v>
      </c>
      <c r="G27" s="230">
        <f t="shared" si="3"/>
        <v>9118186.5040420946</v>
      </c>
    </row>
    <row r="28" spans="1:9">
      <c r="A28" s="223"/>
      <c r="B28" s="223" t="s">
        <v>236</v>
      </c>
      <c r="C28" s="230">
        <f t="shared" si="4"/>
        <v>9118186.5040420946</v>
      </c>
      <c r="D28" s="230">
        <f t="shared" si="0"/>
        <v>68386.398780315707</v>
      </c>
      <c r="E28" s="230">
        <f t="shared" si="6"/>
        <v>120892.15569073515</v>
      </c>
      <c r="F28" s="230">
        <f t="shared" si="7"/>
        <v>189278.55447105085</v>
      </c>
      <c r="G28" s="230">
        <f t="shared" si="3"/>
        <v>8997294.3483513594</v>
      </c>
    </row>
    <row r="29" spans="1:9">
      <c r="A29" s="223"/>
      <c r="B29" s="223" t="s">
        <v>237</v>
      </c>
      <c r="C29" s="230">
        <f t="shared" si="4"/>
        <v>8997294.3483513594</v>
      </c>
      <c r="D29" s="230">
        <f t="shared" si="0"/>
        <v>67479.707612635189</v>
      </c>
      <c r="E29" s="230">
        <f t="shared" si="6"/>
        <v>121798.84685841567</v>
      </c>
      <c r="F29" s="230">
        <f t="shared" si="7"/>
        <v>189278.55447105085</v>
      </c>
      <c r="G29" s="230">
        <f t="shared" si="3"/>
        <v>8875495.5014929436</v>
      </c>
    </row>
    <row r="30" spans="1:9">
      <c r="A30" s="223"/>
      <c r="B30" s="223" t="s">
        <v>238</v>
      </c>
      <c r="C30" s="230">
        <f t="shared" si="4"/>
        <v>8875495.5014929436</v>
      </c>
      <c r="D30" s="230">
        <f t="shared" si="0"/>
        <v>66566.216261197071</v>
      </c>
      <c r="E30" s="230">
        <f t="shared" si="6"/>
        <v>122712.33820985378</v>
      </c>
      <c r="F30" s="230">
        <f t="shared" si="7"/>
        <v>189278.55447105085</v>
      </c>
      <c r="G30" s="230">
        <f t="shared" si="3"/>
        <v>8752783.1632830892</v>
      </c>
    </row>
    <row r="31" spans="1:9">
      <c r="A31" s="223"/>
      <c r="B31" s="223" t="s">
        <v>239</v>
      </c>
      <c r="C31" s="230">
        <f t="shared" si="4"/>
        <v>8752783.1632830892</v>
      </c>
      <c r="D31" s="230">
        <f t="shared" si="0"/>
        <v>65645.873724623161</v>
      </c>
      <c r="E31" s="230">
        <f t="shared" si="6"/>
        <v>123632.68074642769</v>
      </c>
      <c r="F31" s="230">
        <f t="shared" si="7"/>
        <v>189278.55447105085</v>
      </c>
      <c r="G31" s="230">
        <f t="shared" si="3"/>
        <v>8629150.4825366624</v>
      </c>
    </row>
    <row r="32" spans="1:9">
      <c r="A32" s="223"/>
      <c r="B32" s="223" t="s">
        <v>240</v>
      </c>
      <c r="C32" s="230">
        <f t="shared" si="4"/>
        <v>8629150.4825366624</v>
      </c>
      <c r="D32" s="230">
        <f t="shared" si="0"/>
        <v>64718.628619024967</v>
      </c>
      <c r="E32" s="230">
        <f t="shared" si="6"/>
        <v>124559.92585202589</v>
      </c>
      <c r="F32" s="230">
        <f t="shared" si="7"/>
        <v>189278.55447105085</v>
      </c>
      <c r="G32" s="230">
        <f t="shared" si="3"/>
        <v>8504590.5566846356</v>
      </c>
    </row>
    <row r="33" spans="1:9">
      <c r="A33" s="223"/>
      <c r="B33" s="223" t="s">
        <v>241</v>
      </c>
      <c r="C33" s="230">
        <f t="shared" si="4"/>
        <v>8504590.5566846356</v>
      </c>
      <c r="D33" s="230">
        <f t="shared" si="0"/>
        <v>63784.42917513477</v>
      </c>
      <c r="E33" s="230">
        <f t="shared" si="6"/>
        <v>125494.12529591608</v>
      </c>
      <c r="F33" s="230">
        <f t="shared" si="7"/>
        <v>189278.55447105085</v>
      </c>
      <c r="G33" s="230">
        <f t="shared" si="3"/>
        <v>8379096.4313887199</v>
      </c>
      <c r="H33" s="314"/>
      <c r="I33" s="314"/>
    </row>
    <row r="34" spans="1:9">
      <c r="A34" s="223" t="s">
        <v>242</v>
      </c>
      <c r="B34" s="223" t="s">
        <v>243</v>
      </c>
      <c r="C34" s="230">
        <f t="shared" si="4"/>
        <v>8379096.4313887199</v>
      </c>
      <c r="D34" s="230">
        <f t="shared" si="0"/>
        <v>62843.223235415404</v>
      </c>
      <c r="E34" s="230">
        <f t="shared" si="6"/>
        <v>126435.33123563544</v>
      </c>
      <c r="F34" s="230">
        <f t="shared" si="7"/>
        <v>189278.55447105085</v>
      </c>
      <c r="G34" s="230">
        <f t="shared" si="3"/>
        <v>8252661.1001530848</v>
      </c>
    </row>
    <row r="35" spans="1:9">
      <c r="A35" s="223"/>
      <c r="B35" s="223" t="s">
        <v>244</v>
      </c>
      <c r="C35" s="230">
        <f t="shared" si="4"/>
        <v>8252661.1001530848</v>
      </c>
      <c r="D35" s="230">
        <f t="shared" si="0"/>
        <v>61894.958251148135</v>
      </c>
      <c r="E35" s="230">
        <f t="shared" si="6"/>
        <v>127383.59621990271</v>
      </c>
      <c r="F35" s="230">
        <f t="shared" si="7"/>
        <v>189278.55447105085</v>
      </c>
      <c r="G35" s="230">
        <f t="shared" si="3"/>
        <v>8125277.503933182</v>
      </c>
    </row>
    <row r="36" spans="1:9">
      <c r="A36" s="223"/>
      <c r="B36" s="223" t="s">
        <v>245</v>
      </c>
      <c r="C36" s="230">
        <f t="shared" si="4"/>
        <v>8125277.503933182</v>
      </c>
      <c r="D36" s="230">
        <f t="shared" si="0"/>
        <v>60939.581279498867</v>
      </c>
      <c r="E36" s="230">
        <f t="shared" si="6"/>
        <v>128338.97319155198</v>
      </c>
      <c r="F36" s="230">
        <f t="shared" si="7"/>
        <v>189278.55447105085</v>
      </c>
      <c r="G36" s="230">
        <f t="shared" si="3"/>
        <v>7996938.5307416301</v>
      </c>
    </row>
    <row r="37" spans="1:9">
      <c r="A37" s="223"/>
      <c r="B37" s="223" t="s">
        <v>246</v>
      </c>
      <c r="C37" s="230">
        <f t="shared" si="4"/>
        <v>7996938.5307416301</v>
      </c>
      <c r="D37" s="230">
        <f t="shared" si="0"/>
        <v>59977.038980562218</v>
      </c>
      <c r="E37" s="230">
        <f t="shared" si="6"/>
        <v>129301.51549048864</v>
      </c>
      <c r="F37" s="230">
        <f t="shared" si="7"/>
        <v>189278.55447105085</v>
      </c>
      <c r="G37" s="230">
        <f t="shared" si="3"/>
        <v>7867637.015251141</v>
      </c>
    </row>
    <row r="38" spans="1:9">
      <c r="A38" s="223"/>
      <c r="B38" s="223" t="s">
        <v>247</v>
      </c>
      <c r="C38" s="230">
        <f t="shared" si="4"/>
        <v>7867637.015251141</v>
      </c>
      <c r="D38" s="230">
        <f t="shared" si="0"/>
        <v>59007.277614383551</v>
      </c>
      <c r="E38" s="230">
        <f t="shared" si="6"/>
        <v>130271.2768566673</v>
      </c>
      <c r="F38" s="230">
        <f t="shared" si="7"/>
        <v>189278.55447105085</v>
      </c>
      <c r="G38" s="230">
        <f t="shared" si="3"/>
        <v>7737365.7383944737</v>
      </c>
    </row>
    <row r="39" spans="1:9">
      <c r="A39" s="223"/>
      <c r="B39" s="223" t="s">
        <v>248</v>
      </c>
      <c r="C39" s="230">
        <f t="shared" si="4"/>
        <v>7737365.7383944737</v>
      </c>
      <c r="D39" s="230">
        <f t="shared" si="0"/>
        <v>58030.243037958549</v>
      </c>
      <c r="E39" s="230">
        <f t="shared" si="6"/>
        <v>131248.31143309231</v>
      </c>
      <c r="F39" s="230">
        <f t="shared" si="7"/>
        <v>189278.55447105085</v>
      </c>
      <c r="G39" s="230">
        <f t="shared" si="3"/>
        <v>7606117.426961381</v>
      </c>
    </row>
    <row r="40" spans="1:9">
      <c r="A40" s="223"/>
      <c r="B40" s="223" t="s">
        <v>249</v>
      </c>
      <c r="C40" s="230">
        <f t="shared" si="4"/>
        <v>7606117.426961381</v>
      </c>
      <c r="D40" s="230">
        <f t="shared" si="0"/>
        <v>57045.880702210357</v>
      </c>
      <c r="E40" s="230">
        <f t="shared" si="6"/>
        <v>132232.6737688405</v>
      </c>
      <c r="F40" s="230">
        <f t="shared" si="7"/>
        <v>189278.55447105085</v>
      </c>
      <c r="G40" s="230">
        <f t="shared" si="3"/>
        <v>7473884.7531925403</v>
      </c>
    </row>
    <row r="41" spans="1:9">
      <c r="A41" s="223"/>
      <c r="B41" s="223" t="s">
        <v>250</v>
      </c>
      <c r="C41" s="230">
        <f t="shared" si="4"/>
        <v>7473884.7531925403</v>
      </c>
      <c r="D41" s="230">
        <f t="shared" si="0"/>
        <v>56054.135648944044</v>
      </c>
      <c r="E41" s="230">
        <f t="shared" si="6"/>
        <v>133224.41882210682</v>
      </c>
      <c r="F41" s="230">
        <f t="shared" si="7"/>
        <v>189278.55447105085</v>
      </c>
      <c r="G41" s="230">
        <f t="shared" si="3"/>
        <v>7340660.3343704334</v>
      </c>
    </row>
    <row r="42" spans="1:9">
      <c r="A42" s="223"/>
      <c r="B42" s="223" t="s">
        <v>251</v>
      </c>
      <c r="C42" s="230">
        <f t="shared" si="4"/>
        <v>7340660.3343704334</v>
      </c>
      <c r="D42" s="230">
        <f t="shared" ref="D42:D73" si="8">C42*$D$5/12</f>
        <v>55054.952507778245</v>
      </c>
      <c r="E42" s="230">
        <f t="shared" si="6"/>
        <v>134223.60196327261</v>
      </c>
      <c r="F42" s="230">
        <f t="shared" si="7"/>
        <v>189278.55447105085</v>
      </c>
      <c r="G42" s="230">
        <f t="shared" si="3"/>
        <v>7206436.732407161</v>
      </c>
    </row>
    <row r="43" spans="1:9">
      <c r="A43" s="223"/>
      <c r="B43" s="223" t="s">
        <v>252</v>
      </c>
      <c r="C43" s="230">
        <f t="shared" si="4"/>
        <v>7206436.732407161</v>
      </c>
      <c r="D43" s="230">
        <f t="shared" si="8"/>
        <v>54048.275493053712</v>
      </c>
      <c r="E43" s="230">
        <f t="shared" si="6"/>
        <v>135230.27897799714</v>
      </c>
      <c r="F43" s="230">
        <f t="shared" si="7"/>
        <v>189278.55447105085</v>
      </c>
      <c r="G43" s="230">
        <f t="shared" si="3"/>
        <v>7071206.4534291644</v>
      </c>
    </row>
    <row r="44" spans="1:9">
      <c r="A44" s="223"/>
      <c r="B44" s="223" t="s">
        <v>253</v>
      </c>
      <c r="C44" s="230">
        <f t="shared" si="4"/>
        <v>7071206.4534291644</v>
      </c>
      <c r="D44" s="230">
        <f t="shared" si="8"/>
        <v>53034.048400718726</v>
      </c>
      <c r="E44" s="230">
        <f t="shared" si="6"/>
        <v>136244.50607033214</v>
      </c>
      <c r="F44" s="230">
        <f t="shared" si="7"/>
        <v>189278.55447105085</v>
      </c>
      <c r="G44" s="230">
        <f t="shared" si="3"/>
        <v>6934961.9473588318</v>
      </c>
    </row>
    <row r="45" spans="1:9">
      <c r="A45" s="223"/>
      <c r="B45" s="223" t="s">
        <v>254</v>
      </c>
      <c r="C45" s="230">
        <f t="shared" si="4"/>
        <v>6934961.9473588318</v>
      </c>
      <c r="D45" s="230">
        <f t="shared" si="8"/>
        <v>52012.214605191235</v>
      </c>
      <c r="E45" s="230">
        <f t="shared" si="6"/>
        <v>137266.33986585963</v>
      </c>
      <c r="F45" s="230">
        <f t="shared" si="7"/>
        <v>189278.55447105085</v>
      </c>
      <c r="G45" s="230">
        <f t="shared" si="3"/>
        <v>6797695.6074929722</v>
      </c>
      <c r="H45" s="314"/>
      <c r="I45" s="314"/>
    </row>
    <row r="46" spans="1:9">
      <c r="A46" s="223" t="s">
        <v>255</v>
      </c>
      <c r="B46" s="223" t="s">
        <v>256</v>
      </c>
      <c r="C46" s="230">
        <f t="shared" si="4"/>
        <v>6797695.6074929722</v>
      </c>
      <c r="D46" s="230">
        <f t="shared" si="8"/>
        <v>50982.717056197289</v>
      </c>
      <c r="E46" s="230">
        <f t="shared" si="6"/>
        <v>138295.83741485357</v>
      </c>
      <c r="F46" s="230">
        <f t="shared" si="7"/>
        <v>189278.55447105085</v>
      </c>
      <c r="G46" s="230">
        <f t="shared" si="3"/>
        <v>6659399.7700781189</v>
      </c>
    </row>
    <row r="47" spans="1:9">
      <c r="A47" s="223"/>
      <c r="B47" s="223" t="s">
        <v>257</v>
      </c>
      <c r="C47" s="230">
        <f t="shared" si="4"/>
        <v>6659399.7700781189</v>
      </c>
      <c r="D47" s="230">
        <f t="shared" si="8"/>
        <v>49945.498275585887</v>
      </c>
      <c r="E47" s="230">
        <f t="shared" si="6"/>
        <v>139333.05619546497</v>
      </c>
      <c r="F47" s="230">
        <f t="shared" si="7"/>
        <v>189278.55447105085</v>
      </c>
      <c r="G47" s="230">
        <f t="shared" si="3"/>
        <v>6520066.713882654</v>
      </c>
    </row>
    <row r="48" spans="1:9">
      <c r="A48" s="223"/>
      <c r="B48" s="223" t="s">
        <v>258</v>
      </c>
      <c r="C48" s="230">
        <f t="shared" si="4"/>
        <v>6520066.713882654</v>
      </c>
      <c r="D48" s="230">
        <f t="shared" si="8"/>
        <v>48900.500354119904</v>
      </c>
      <c r="E48" s="230">
        <f t="shared" si="6"/>
        <v>140378.05411693096</v>
      </c>
      <c r="F48" s="230">
        <f t="shared" si="7"/>
        <v>189278.55447105085</v>
      </c>
      <c r="G48" s="230">
        <f t="shared" si="3"/>
        <v>6379688.6597657232</v>
      </c>
    </row>
    <row r="49" spans="1:9">
      <c r="A49" s="223"/>
      <c r="B49" s="223" t="s">
        <v>259</v>
      </c>
      <c r="C49" s="230">
        <f t="shared" si="4"/>
        <v>6379688.6597657232</v>
      </c>
      <c r="D49" s="230">
        <f t="shared" si="8"/>
        <v>47847.66494824292</v>
      </c>
      <c r="E49" s="230">
        <f t="shared" si="6"/>
        <v>141430.88952280793</v>
      </c>
      <c r="F49" s="230">
        <f t="shared" si="7"/>
        <v>189278.55447105085</v>
      </c>
      <c r="G49" s="230">
        <f t="shared" si="3"/>
        <v>6238257.7702429155</v>
      </c>
    </row>
    <row r="50" spans="1:9">
      <c r="A50" s="223"/>
      <c r="B50" s="223" t="s">
        <v>260</v>
      </c>
      <c r="C50" s="230">
        <f t="shared" si="4"/>
        <v>6238257.7702429155</v>
      </c>
      <c r="D50" s="230">
        <f t="shared" si="8"/>
        <v>46786.933276821866</v>
      </c>
      <c r="E50" s="230">
        <f t="shared" si="6"/>
        <v>142491.621194229</v>
      </c>
      <c r="F50" s="230">
        <f t="shared" si="7"/>
        <v>189278.55447105085</v>
      </c>
      <c r="G50" s="230">
        <f t="shared" si="3"/>
        <v>6095766.149048686</v>
      </c>
    </row>
    <row r="51" spans="1:9">
      <c r="A51" s="223"/>
      <c r="B51" s="223" t="s">
        <v>261</v>
      </c>
      <c r="C51" s="230">
        <f t="shared" si="4"/>
        <v>6095766.149048686</v>
      </c>
      <c r="D51" s="230">
        <f t="shared" si="8"/>
        <v>45718.246117865143</v>
      </c>
      <c r="E51" s="230">
        <f t="shared" si="6"/>
        <v>143560.30835318571</v>
      </c>
      <c r="F51" s="230">
        <f t="shared" si="7"/>
        <v>189278.55447105085</v>
      </c>
      <c r="G51" s="230">
        <f t="shared" si="3"/>
        <v>5952205.8406955004</v>
      </c>
    </row>
    <row r="52" spans="1:9">
      <c r="A52" s="223"/>
      <c r="B52" s="223" t="s">
        <v>262</v>
      </c>
      <c r="C52" s="230">
        <f t="shared" si="4"/>
        <v>5952205.8406955004</v>
      </c>
      <c r="D52" s="230">
        <f t="shared" si="8"/>
        <v>44641.543805216257</v>
      </c>
      <c r="E52" s="230">
        <f t="shared" si="6"/>
        <v>144637.01066583459</v>
      </c>
      <c r="F52" s="230">
        <f t="shared" si="7"/>
        <v>189278.55447105085</v>
      </c>
      <c r="G52" s="230">
        <f t="shared" si="3"/>
        <v>5807568.8300296655</v>
      </c>
    </row>
    <row r="53" spans="1:9">
      <c r="A53" s="223"/>
      <c r="B53" s="223" t="s">
        <v>263</v>
      </c>
      <c r="C53" s="230">
        <f t="shared" si="4"/>
        <v>5807568.8300296655</v>
      </c>
      <c r="D53" s="230">
        <f t="shared" si="8"/>
        <v>43556.766225222491</v>
      </c>
      <c r="E53" s="230">
        <f t="shared" si="6"/>
        <v>145721.78824582836</v>
      </c>
      <c r="F53" s="230">
        <f t="shared" si="7"/>
        <v>189278.55447105085</v>
      </c>
      <c r="G53" s="230">
        <f t="shared" si="3"/>
        <v>5661847.0417838376</v>
      </c>
    </row>
    <row r="54" spans="1:9">
      <c r="A54" s="223"/>
      <c r="B54" s="223" t="s">
        <v>264</v>
      </c>
      <c r="C54" s="230">
        <f t="shared" si="4"/>
        <v>5661847.0417838376</v>
      </c>
      <c r="D54" s="230">
        <f t="shared" si="8"/>
        <v>42463.852813378784</v>
      </c>
      <c r="E54" s="230">
        <f t="shared" si="6"/>
        <v>146814.70165767206</v>
      </c>
      <c r="F54" s="230">
        <f t="shared" si="7"/>
        <v>189278.55447105085</v>
      </c>
      <c r="G54" s="230">
        <f t="shared" si="3"/>
        <v>5515032.3401261652</v>
      </c>
    </row>
    <row r="55" spans="1:9">
      <c r="A55" s="223"/>
      <c r="B55" s="223" t="s">
        <v>265</v>
      </c>
      <c r="C55" s="230">
        <f t="shared" si="4"/>
        <v>5515032.3401261652</v>
      </c>
      <c r="D55" s="230">
        <f t="shared" si="8"/>
        <v>41362.742550946241</v>
      </c>
      <c r="E55" s="230">
        <f t="shared" si="6"/>
        <v>147915.81192010461</v>
      </c>
      <c r="F55" s="230">
        <f t="shared" si="7"/>
        <v>189278.55447105085</v>
      </c>
      <c r="G55" s="230">
        <f t="shared" si="3"/>
        <v>5367116.5282060606</v>
      </c>
    </row>
    <row r="56" spans="1:9">
      <c r="A56" s="223"/>
      <c r="B56" s="223" t="s">
        <v>266</v>
      </c>
      <c r="C56" s="230">
        <f t="shared" si="4"/>
        <v>5367116.5282060606</v>
      </c>
      <c r="D56" s="230">
        <f t="shared" si="8"/>
        <v>40253.373961545454</v>
      </c>
      <c r="E56" s="230">
        <f t="shared" si="6"/>
        <v>149025.18050950539</v>
      </c>
      <c r="F56" s="230">
        <f t="shared" si="7"/>
        <v>189278.55447105085</v>
      </c>
      <c r="G56" s="230">
        <f t="shared" si="3"/>
        <v>5218091.3476965548</v>
      </c>
    </row>
    <row r="57" spans="1:9">
      <c r="A57" s="223"/>
      <c r="B57" s="223" t="s">
        <v>267</v>
      </c>
      <c r="C57" s="230">
        <f t="shared" si="4"/>
        <v>5218091.3476965548</v>
      </c>
      <c r="D57" s="230">
        <f t="shared" si="8"/>
        <v>39135.685107724159</v>
      </c>
      <c r="E57" s="230">
        <f t="shared" si="6"/>
        <v>150142.8693633267</v>
      </c>
      <c r="F57" s="230">
        <f t="shared" si="7"/>
        <v>189278.55447105085</v>
      </c>
      <c r="G57" s="230">
        <f t="shared" si="3"/>
        <v>5067948.4783332283</v>
      </c>
      <c r="H57" s="314"/>
      <c r="I57" s="314"/>
    </row>
    <row r="58" spans="1:9">
      <c r="A58" s="223" t="s">
        <v>268</v>
      </c>
      <c r="B58" s="223" t="s">
        <v>269</v>
      </c>
      <c r="C58" s="230">
        <f t="shared" si="4"/>
        <v>5067948.4783332283</v>
      </c>
      <c r="D58" s="230">
        <f t="shared" si="8"/>
        <v>38009.613587499211</v>
      </c>
      <c r="E58" s="230">
        <f t="shared" si="6"/>
        <v>151268.94088355164</v>
      </c>
      <c r="F58" s="230">
        <f t="shared" si="7"/>
        <v>189278.55447105085</v>
      </c>
      <c r="G58" s="230">
        <f t="shared" si="3"/>
        <v>4916679.5374496765</v>
      </c>
    </row>
    <row r="59" spans="1:9">
      <c r="A59" s="223"/>
      <c r="B59" s="223" t="s">
        <v>270</v>
      </c>
      <c r="C59" s="230">
        <f t="shared" si="4"/>
        <v>4916679.5374496765</v>
      </c>
      <c r="D59" s="230">
        <f t="shared" si="8"/>
        <v>36875.096530872572</v>
      </c>
      <c r="E59" s="230">
        <f t="shared" si="6"/>
        <v>152403.45794017828</v>
      </c>
      <c r="F59" s="230">
        <f t="shared" si="7"/>
        <v>189278.55447105085</v>
      </c>
      <c r="G59" s="230">
        <f t="shared" si="3"/>
        <v>4764276.0795094986</v>
      </c>
    </row>
    <row r="60" spans="1:9">
      <c r="A60" s="223"/>
      <c r="B60" s="223" t="s">
        <v>271</v>
      </c>
      <c r="C60" s="230">
        <f t="shared" si="4"/>
        <v>4764276.0795094986</v>
      </c>
      <c r="D60" s="230">
        <f t="shared" si="8"/>
        <v>35732.070596321239</v>
      </c>
      <c r="E60" s="230">
        <f t="shared" si="6"/>
        <v>153546.4838747296</v>
      </c>
      <c r="F60" s="230">
        <f t="shared" si="7"/>
        <v>189278.55447105085</v>
      </c>
      <c r="G60" s="230">
        <f t="shared" si="3"/>
        <v>4610729.5956347687</v>
      </c>
    </row>
    <row r="61" spans="1:9">
      <c r="A61" s="223"/>
      <c r="B61" s="223" t="s">
        <v>272</v>
      </c>
      <c r="C61" s="230">
        <f t="shared" si="4"/>
        <v>4610729.5956347687</v>
      </c>
      <c r="D61" s="230">
        <f t="shared" si="8"/>
        <v>34580.471967260768</v>
      </c>
      <c r="E61" s="230">
        <f t="shared" si="6"/>
        <v>154698.08250379009</v>
      </c>
      <c r="F61" s="230">
        <f t="shared" si="7"/>
        <v>189278.55447105085</v>
      </c>
      <c r="G61" s="230">
        <f t="shared" si="3"/>
        <v>4456031.5131309787</v>
      </c>
    </row>
    <row r="62" spans="1:9">
      <c r="A62" s="223"/>
      <c r="B62" s="223" t="s">
        <v>273</v>
      </c>
      <c r="C62" s="230">
        <f t="shared" si="4"/>
        <v>4456031.5131309787</v>
      </c>
      <c r="D62" s="230">
        <f t="shared" si="8"/>
        <v>33420.236348482336</v>
      </c>
      <c r="E62" s="230">
        <f t="shared" si="6"/>
        <v>155858.31812256851</v>
      </c>
      <c r="F62" s="230">
        <f t="shared" si="7"/>
        <v>189278.55447105085</v>
      </c>
      <c r="G62" s="230">
        <f t="shared" si="3"/>
        <v>4300173.1950084101</v>
      </c>
    </row>
    <row r="63" spans="1:9">
      <c r="A63" s="223"/>
      <c r="B63" s="223" t="s">
        <v>274</v>
      </c>
      <c r="C63" s="230">
        <f t="shared" si="4"/>
        <v>4300173.1950084101</v>
      </c>
      <c r="D63" s="230">
        <f t="shared" si="8"/>
        <v>32251.298962563073</v>
      </c>
      <c r="E63" s="230">
        <f t="shared" si="6"/>
        <v>157027.25550848778</v>
      </c>
      <c r="F63" s="230">
        <f t="shared" si="7"/>
        <v>189278.55447105085</v>
      </c>
      <c r="G63" s="230">
        <f t="shared" si="3"/>
        <v>4143145.9394999226</v>
      </c>
    </row>
    <row r="64" spans="1:9">
      <c r="A64" s="223"/>
      <c r="B64" s="223" t="s">
        <v>275</v>
      </c>
      <c r="C64" s="230">
        <f t="shared" si="4"/>
        <v>4143145.9394999226</v>
      </c>
      <c r="D64" s="230">
        <f t="shared" si="8"/>
        <v>31073.594546249416</v>
      </c>
      <c r="E64" s="230">
        <f t="shared" si="6"/>
        <v>158204.95992480143</v>
      </c>
      <c r="F64" s="230">
        <f t="shared" si="7"/>
        <v>189278.55447105085</v>
      </c>
      <c r="G64" s="230">
        <f t="shared" si="3"/>
        <v>3984940.9795751213</v>
      </c>
    </row>
    <row r="65" spans="1:9">
      <c r="A65" s="223"/>
      <c r="B65" s="223" t="s">
        <v>276</v>
      </c>
      <c r="C65" s="230">
        <f t="shared" si="4"/>
        <v>3984940.9795751213</v>
      </c>
      <c r="D65" s="230">
        <f t="shared" si="8"/>
        <v>29887.05734681341</v>
      </c>
      <c r="E65" s="230">
        <f t="shared" si="6"/>
        <v>159391.49712423744</v>
      </c>
      <c r="F65" s="230">
        <f t="shared" si="7"/>
        <v>189278.55447105085</v>
      </c>
      <c r="G65" s="230">
        <f t="shared" si="3"/>
        <v>3825549.4824508838</v>
      </c>
    </row>
    <row r="66" spans="1:9">
      <c r="A66" s="223"/>
      <c r="B66" s="223" t="s">
        <v>277</v>
      </c>
      <c r="C66" s="230">
        <f t="shared" si="4"/>
        <v>3825549.4824508838</v>
      </c>
      <c r="D66" s="230">
        <f t="shared" si="8"/>
        <v>28691.62111838163</v>
      </c>
      <c r="E66" s="230">
        <f t="shared" si="6"/>
        <v>160586.93335266924</v>
      </c>
      <c r="F66" s="230">
        <f t="shared" si="7"/>
        <v>189278.55447105085</v>
      </c>
      <c r="G66" s="230">
        <f t="shared" si="3"/>
        <v>3664962.5490982146</v>
      </c>
    </row>
    <row r="67" spans="1:9">
      <c r="A67" s="223"/>
      <c r="B67" s="223" t="s">
        <v>278</v>
      </c>
      <c r="C67" s="230">
        <f t="shared" si="4"/>
        <v>3664962.5490982146</v>
      </c>
      <c r="D67" s="230">
        <f t="shared" si="8"/>
        <v>27487.219118236608</v>
      </c>
      <c r="E67" s="230">
        <f t="shared" si="6"/>
        <v>161791.33535281423</v>
      </c>
      <c r="F67" s="230">
        <f t="shared" si="7"/>
        <v>189278.55447105085</v>
      </c>
      <c r="G67" s="230">
        <f t="shared" si="3"/>
        <v>3503171.2137454003</v>
      </c>
    </row>
    <row r="68" spans="1:9">
      <c r="A68" s="223"/>
      <c r="B68" s="223" t="s">
        <v>279</v>
      </c>
      <c r="C68" s="230">
        <f t="shared" si="4"/>
        <v>3503171.2137454003</v>
      </c>
      <c r="D68" s="230">
        <f t="shared" si="8"/>
        <v>26273.7841030905</v>
      </c>
      <c r="E68" s="230">
        <f t="shared" si="6"/>
        <v>163004.77036796036</v>
      </c>
      <c r="F68" s="230">
        <f t="shared" si="7"/>
        <v>189278.55447105085</v>
      </c>
      <c r="G68" s="230">
        <f t="shared" si="3"/>
        <v>3340166.4433774399</v>
      </c>
    </row>
    <row r="69" spans="1:9">
      <c r="A69" s="223"/>
      <c r="B69" s="223" t="s">
        <v>280</v>
      </c>
      <c r="C69" s="230">
        <f t="shared" si="4"/>
        <v>3340166.4433774399</v>
      </c>
      <c r="D69" s="230">
        <f t="shared" si="8"/>
        <v>25051.248325330798</v>
      </c>
      <c r="E69" s="230">
        <f t="shared" si="6"/>
        <v>164227.30614572007</v>
      </c>
      <c r="F69" s="230">
        <f t="shared" si="7"/>
        <v>189278.55447105085</v>
      </c>
      <c r="G69" s="230">
        <f t="shared" si="3"/>
        <v>3175939.1372317197</v>
      </c>
      <c r="H69" s="314"/>
      <c r="I69" s="314"/>
    </row>
    <row r="70" spans="1:9" hidden="1">
      <c r="A70" s="223" t="s">
        <v>281</v>
      </c>
      <c r="B70" s="223" t="s">
        <v>282</v>
      </c>
      <c r="C70" s="230">
        <f t="shared" si="4"/>
        <v>3175939.1372317197</v>
      </c>
      <c r="D70" s="230">
        <f t="shared" si="8"/>
        <v>23819.543529237897</v>
      </c>
      <c r="E70" s="230">
        <f t="shared" si="6"/>
        <v>-23819.543529237897</v>
      </c>
      <c r="F70" s="230"/>
      <c r="G70" s="230">
        <f t="shared" si="3"/>
        <v>3199758.6807609578</v>
      </c>
    </row>
    <row r="71" spans="1:9" hidden="1">
      <c r="A71" s="223"/>
      <c r="B71" s="223" t="s">
        <v>283</v>
      </c>
      <c r="C71" s="230">
        <f t="shared" si="4"/>
        <v>3199758.6807609578</v>
      </c>
      <c r="D71" s="230">
        <f t="shared" si="8"/>
        <v>23998.190105707181</v>
      </c>
      <c r="E71" s="230">
        <f t="shared" si="6"/>
        <v>-23998.190105707181</v>
      </c>
      <c r="F71" s="230"/>
      <c r="G71" s="230">
        <f t="shared" si="3"/>
        <v>3223756.8708666652</v>
      </c>
    </row>
    <row r="72" spans="1:9" hidden="1">
      <c r="A72" s="223"/>
      <c r="B72" s="223" t="s">
        <v>284</v>
      </c>
      <c r="C72" s="230">
        <f t="shared" si="4"/>
        <v>3223756.8708666652</v>
      </c>
      <c r="D72" s="230">
        <f t="shared" si="8"/>
        <v>24178.17653149999</v>
      </c>
      <c r="E72" s="230">
        <f t="shared" si="6"/>
        <v>-24178.17653149999</v>
      </c>
      <c r="F72" s="230"/>
      <c r="G72" s="230">
        <f t="shared" si="3"/>
        <v>3247935.0473981653</v>
      </c>
    </row>
    <row r="73" spans="1:9" hidden="1">
      <c r="A73" s="223"/>
      <c r="B73" s="223" t="s">
        <v>285</v>
      </c>
      <c r="C73" s="230">
        <f t="shared" si="4"/>
        <v>3247935.0473981653</v>
      </c>
      <c r="D73" s="230">
        <f t="shared" si="8"/>
        <v>24359.512855486242</v>
      </c>
      <c r="E73" s="230">
        <f t="shared" si="6"/>
        <v>-24359.512855486242</v>
      </c>
      <c r="F73" s="230"/>
      <c r="G73" s="230">
        <f t="shared" si="3"/>
        <v>3272294.5602536513</v>
      </c>
    </row>
    <row r="74" spans="1:9" hidden="1">
      <c r="A74" s="223"/>
      <c r="B74" s="223" t="s">
        <v>286</v>
      </c>
      <c r="C74" s="230">
        <f t="shared" si="4"/>
        <v>3272294.5602536513</v>
      </c>
      <c r="D74" s="230">
        <f t="shared" ref="D74:D93" si="9">C74*$D$5/12</f>
        <v>24542.209201902384</v>
      </c>
      <c r="E74" s="230">
        <f t="shared" si="6"/>
        <v>-24542.209201902384</v>
      </c>
      <c r="F74" s="230"/>
      <c r="G74" s="230">
        <f t="shared" si="3"/>
        <v>3296836.769455554</v>
      </c>
    </row>
    <row r="75" spans="1:9" hidden="1">
      <c r="A75" s="223"/>
      <c r="B75" s="223" t="s">
        <v>287</v>
      </c>
      <c r="C75" s="230">
        <f t="shared" si="4"/>
        <v>3296836.769455554</v>
      </c>
      <c r="D75" s="230">
        <f t="shared" si="9"/>
        <v>24726.275770916651</v>
      </c>
      <c r="E75" s="230">
        <f t="shared" si="6"/>
        <v>-24726.275770916651</v>
      </c>
      <c r="F75" s="230"/>
      <c r="G75" s="230">
        <f t="shared" ref="G75:G93" si="10">C75-E75</f>
        <v>3321563.0452264706</v>
      </c>
    </row>
    <row r="76" spans="1:9" hidden="1">
      <c r="A76" s="223"/>
      <c r="B76" s="223" t="s">
        <v>288</v>
      </c>
      <c r="C76" s="230">
        <f t="shared" ref="C76:C93" si="11">G75</f>
        <v>3321563.0452264706</v>
      </c>
      <c r="D76" s="230">
        <f t="shared" si="9"/>
        <v>24911.722839198526</v>
      </c>
      <c r="E76" s="230">
        <f t="shared" si="6"/>
        <v>-24911.722839198526</v>
      </c>
      <c r="F76" s="230"/>
      <c r="G76" s="230">
        <f t="shared" si="10"/>
        <v>3346474.7680656691</v>
      </c>
    </row>
    <row r="77" spans="1:9" hidden="1">
      <c r="A77" s="223"/>
      <c r="B77" s="223" t="s">
        <v>289</v>
      </c>
      <c r="C77" s="230">
        <f t="shared" si="11"/>
        <v>3346474.7680656691</v>
      </c>
      <c r="D77" s="230">
        <f t="shared" si="9"/>
        <v>25098.560760492517</v>
      </c>
      <c r="E77" s="230">
        <f t="shared" si="6"/>
        <v>-25098.560760492517</v>
      </c>
      <c r="F77" s="230"/>
      <c r="G77" s="230">
        <f t="shared" si="10"/>
        <v>3371573.3288261616</v>
      </c>
    </row>
    <row r="78" spans="1:9" hidden="1">
      <c r="A78" s="223"/>
      <c r="B78" s="223" t="s">
        <v>290</v>
      </c>
      <c r="C78" s="230">
        <f t="shared" si="11"/>
        <v>3371573.3288261616</v>
      </c>
      <c r="D78" s="230">
        <f t="shared" si="9"/>
        <v>25286.799966196209</v>
      </c>
      <c r="E78" s="230">
        <f t="shared" si="6"/>
        <v>-25286.799966196209</v>
      </c>
      <c r="F78" s="230"/>
      <c r="G78" s="230">
        <f t="shared" si="10"/>
        <v>3396860.1287923576</v>
      </c>
    </row>
    <row r="79" spans="1:9" hidden="1">
      <c r="A79" s="223"/>
      <c r="B79" s="223" t="s">
        <v>291</v>
      </c>
      <c r="C79" s="230">
        <f t="shared" si="11"/>
        <v>3396860.1287923576</v>
      </c>
      <c r="D79" s="230">
        <f t="shared" si="9"/>
        <v>25476.45096594268</v>
      </c>
      <c r="E79" s="230">
        <f t="shared" si="6"/>
        <v>-25476.45096594268</v>
      </c>
      <c r="F79" s="230"/>
      <c r="G79" s="230">
        <f t="shared" si="10"/>
        <v>3422336.5797583004</v>
      </c>
    </row>
    <row r="80" spans="1:9" hidden="1">
      <c r="A80" s="223"/>
      <c r="B80" s="223" t="s">
        <v>292</v>
      </c>
      <c r="C80" s="230">
        <f t="shared" si="11"/>
        <v>3422336.5797583004</v>
      </c>
      <c r="D80" s="230">
        <f t="shared" si="9"/>
        <v>25667.524348187249</v>
      </c>
      <c r="E80" s="230">
        <f t="shared" si="6"/>
        <v>-25667.524348187249</v>
      </c>
      <c r="F80" s="230"/>
      <c r="G80" s="230">
        <f t="shared" si="10"/>
        <v>3448004.1041064877</v>
      </c>
    </row>
    <row r="81" spans="1:9" hidden="1">
      <c r="A81" s="223"/>
      <c r="B81" s="223" t="s">
        <v>293</v>
      </c>
      <c r="C81" s="230">
        <f t="shared" si="11"/>
        <v>3448004.1041064877</v>
      </c>
      <c r="D81" s="230">
        <f t="shared" si="9"/>
        <v>25860.030780798657</v>
      </c>
      <c r="E81" s="230">
        <f t="shared" ref="E81:E93" si="12">F81-D81</f>
        <v>-25860.030780798657</v>
      </c>
      <c r="F81" s="230"/>
      <c r="G81" s="230">
        <f t="shared" si="10"/>
        <v>3473864.1348872865</v>
      </c>
      <c r="H81" s="314"/>
      <c r="I81" s="314"/>
    </row>
    <row r="82" spans="1:9" hidden="1">
      <c r="A82" s="223" t="s">
        <v>294</v>
      </c>
      <c r="B82" s="223" t="s">
        <v>295</v>
      </c>
      <c r="C82" s="230">
        <f t="shared" si="11"/>
        <v>3473864.1348872865</v>
      </c>
      <c r="D82" s="230">
        <f t="shared" si="9"/>
        <v>26053.981011654647</v>
      </c>
      <c r="E82" s="230">
        <f t="shared" si="12"/>
        <v>-26053.981011654647</v>
      </c>
      <c r="F82" s="230"/>
      <c r="G82" s="230">
        <f t="shared" si="10"/>
        <v>3499918.1158989412</v>
      </c>
    </row>
    <row r="83" spans="1:9" hidden="1">
      <c r="A83" s="223"/>
      <c r="B83" s="223" t="s">
        <v>296</v>
      </c>
      <c r="C83" s="230">
        <f t="shared" si="11"/>
        <v>3499918.1158989412</v>
      </c>
      <c r="D83" s="230">
        <f t="shared" si="9"/>
        <v>26249.385869242058</v>
      </c>
      <c r="E83" s="230">
        <f t="shared" si="12"/>
        <v>-26249.385869242058</v>
      </c>
      <c r="F83" s="230"/>
      <c r="G83" s="230">
        <f t="shared" si="10"/>
        <v>3526167.5017681834</v>
      </c>
    </row>
    <row r="84" spans="1:9" hidden="1">
      <c r="A84" s="223"/>
      <c r="B84" s="223" t="s">
        <v>297</v>
      </c>
      <c r="C84" s="230">
        <f t="shared" si="11"/>
        <v>3526167.5017681834</v>
      </c>
      <c r="D84" s="230">
        <f t="shared" si="9"/>
        <v>26446.256263261374</v>
      </c>
      <c r="E84" s="230">
        <f t="shared" si="12"/>
        <v>-26446.256263261374</v>
      </c>
      <c r="F84" s="230"/>
      <c r="G84" s="230">
        <f t="shared" si="10"/>
        <v>3552613.7580314446</v>
      </c>
    </row>
    <row r="85" spans="1:9" hidden="1">
      <c r="A85" s="223"/>
      <c r="B85" s="223" t="s">
        <v>298</v>
      </c>
      <c r="C85" s="230">
        <f t="shared" si="11"/>
        <v>3552613.7580314446</v>
      </c>
      <c r="D85" s="230">
        <f t="shared" si="9"/>
        <v>26644.603185235832</v>
      </c>
      <c r="E85" s="230">
        <f t="shared" si="12"/>
        <v>-26644.603185235832</v>
      </c>
      <c r="F85" s="230"/>
      <c r="G85" s="230">
        <f t="shared" si="10"/>
        <v>3579258.3612166806</v>
      </c>
    </row>
    <row r="86" spans="1:9" hidden="1">
      <c r="A86" s="223"/>
      <c r="B86" s="223" t="s">
        <v>299</v>
      </c>
      <c r="C86" s="230">
        <f t="shared" si="11"/>
        <v>3579258.3612166806</v>
      </c>
      <c r="D86" s="230">
        <f t="shared" si="9"/>
        <v>26844.437709125104</v>
      </c>
      <c r="E86" s="230">
        <f t="shared" si="12"/>
        <v>-26844.437709125104</v>
      </c>
      <c r="F86" s="230"/>
      <c r="G86" s="230">
        <f t="shared" si="10"/>
        <v>3606102.7989258058</v>
      </c>
    </row>
    <row r="87" spans="1:9" hidden="1">
      <c r="A87" s="223"/>
      <c r="B87" s="223" t="s">
        <v>300</v>
      </c>
      <c r="C87" s="230">
        <f t="shared" si="11"/>
        <v>3606102.7989258058</v>
      </c>
      <c r="D87" s="230">
        <f t="shared" si="9"/>
        <v>27045.770991943544</v>
      </c>
      <c r="E87" s="230">
        <f t="shared" si="12"/>
        <v>-27045.770991943544</v>
      </c>
      <c r="F87" s="230"/>
      <c r="G87" s="230">
        <f t="shared" si="10"/>
        <v>3633148.5699177496</v>
      </c>
    </row>
    <row r="88" spans="1:9" hidden="1">
      <c r="A88" s="223"/>
      <c r="B88" s="223" t="s">
        <v>301</v>
      </c>
      <c r="C88" s="230">
        <f t="shared" si="11"/>
        <v>3633148.5699177496</v>
      </c>
      <c r="D88" s="230">
        <f t="shared" si="9"/>
        <v>27248.614274383119</v>
      </c>
      <c r="E88" s="230">
        <f t="shared" si="12"/>
        <v>-27248.614274383119</v>
      </c>
      <c r="F88" s="230"/>
      <c r="G88" s="230">
        <f t="shared" si="10"/>
        <v>3660397.1841921327</v>
      </c>
    </row>
    <row r="89" spans="1:9" hidden="1">
      <c r="A89" s="223"/>
      <c r="B89" s="223" t="s">
        <v>302</v>
      </c>
      <c r="C89" s="230">
        <f t="shared" si="11"/>
        <v>3660397.1841921327</v>
      </c>
      <c r="D89" s="230">
        <f t="shared" si="9"/>
        <v>27452.978881440995</v>
      </c>
      <c r="E89" s="230">
        <f t="shared" si="12"/>
        <v>-27452.978881440995</v>
      </c>
      <c r="F89" s="230"/>
      <c r="G89" s="230">
        <f t="shared" si="10"/>
        <v>3687850.1630735737</v>
      </c>
    </row>
    <row r="90" spans="1:9" hidden="1">
      <c r="A90" s="223"/>
      <c r="B90" s="223" t="s">
        <v>303</v>
      </c>
      <c r="C90" s="230">
        <f t="shared" si="11"/>
        <v>3687850.1630735737</v>
      </c>
      <c r="D90" s="230">
        <f t="shared" si="9"/>
        <v>27658.876223051804</v>
      </c>
      <c r="E90" s="230">
        <f t="shared" si="12"/>
        <v>-27658.876223051804</v>
      </c>
      <c r="F90" s="230"/>
      <c r="G90" s="230">
        <f t="shared" si="10"/>
        <v>3715509.0392966256</v>
      </c>
    </row>
    <row r="91" spans="1:9" hidden="1">
      <c r="A91" s="223"/>
      <c r="B91" s="223" t="s">
        <v>304</v>
      </c>
      <c r="C91" s="230">
        <f t="shared" si="11"/>
        <v>3715509.0392966256</v>
      </c>
      <c r="D91" s="230">
        <f t="shared" si="9"/>
        <v>27866.317794724691</v>
      </c>
      <c r="E91" s="230">
        <f t="shared" si="12"/>
        <v>-27866.317794724691</v>
      </c>
      <c r="F91" s="230"/>
      <c r="G91" s="230">
        <f t="shared" si="10"/>
        <v>3743375.3570913505</v>
      </c>
    </row>
    <row r="92" spans="1:9" hidden="1">
      <c r="A92" s="223"/>
      <c r="B92" s="223" t="s">
        <v>305</v>
      </c>
      <c r="C92" s="230">
        <f t="shared" si="11"/>
        <v>3743375.3570913505</v>
      </c>
      <c r="D92" s="230">
        <f t="shared" si="9"/>
        <v>28075.31517818513</v>
      </c>
      <c r="E92" s="230">
        <f t="shared" si="12"/>
        <v>-28075.31517818513</v>
      </c>
      <c r="F92" s="230"/>
      <c r="G92" s="230">
        <f t="shared" si="10"/>
        <v>3771450.6722695357</v>
      </c>
    </row>
    <row r="93" spans="1:9" hidden="1">
      <c r="A93" s="223"/>
      <c r="B93" s="223" t="s">
        <v>306</v>
      </c>
      <c r="C93" s="230">
        <f t="shared" si="11"/>
        <v>3771450.6722695357</v>
      </c>
      <c r="D93" s="230">
        <f t="shared" si="9"/>
        <v>28285.880042021516</v>
      </c>
      <c r="E93" s="230">
        <f t="shared" si="12"/>
        <v>-28285.880042021516</v>
      </c>
      <c r="F93" s="230"/>
      <c r="G93" s="230">
        <f t="shared" si="10"/>
        <v>3799736.5523115573</v>
      </c>
    </row>
    <row r="94" spans="1:9">
      <c r="D94" s="314">
        <f>SUM(D10:D93)</f>
        <v>3992726.7451420678</v>
      </c>
      <c r="E94" s="314">
        <f>SUM(E10:E93)</f>
        <v>6700841.1949201059</v>
      </c>
    </row>
    <row r="95" spans="1:9" ht="39.950000000000003" customHeight="1">
      <c r="A95" s="428" t="s">
        <v>307</v>
      </c>
      <c r="B95" s="428"/>
      <c r="C95" s="428"/>
      <c r="D95" s="428"/>
      <c r="E95" s="428"/>
      <c r="F95" s="428"/>
      <c r="G95" s="428"/>
      <c r="H95" s="428"/>
    </row>
    <row r="96" spans="1:9">
      <c r="A96" s="220" t="s">
        <v>308</v>
      </c>
    </row>
    <row r="97" spans="1:2">
      <c r="A97" s="220">
        <v>1</v>
      </c>
      <c r="B97" s="220" t="s">
        <v>309</v>
      </c>
    </row>
    <row r="98" spans="1:2">
      <c r="A98" s="220">
        <v>2</v>
      </c>
      <c r="B98" s="220" t="s">
        <v>310</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dimension ref="A2:W63"/>
  <sheetViews>
    <sheetView view="pageBreakPreview" topLeftCell="A30" zoomScale="80" workbookViewId="0">
      <selection activeCell="H13" sqref="H13"/>
    </sheetView>
  </sheetViews>
  <sheetFormatPr defaultColWidth="9" defaultRowHeight="15"/>
  <cols>
    <col min="1" max="1" width="9" style="220"/>
    <col min="2" max="2" width="7.5703125" style="220" customWidth="1"/>
    <col min="3" max="3" width="30.5703125" style="220" customWidth="1"/>
    <col min="4" max="4" width="9.5703125" style="220" customWidth="1"/>
    <col min="5" max="10" width="11.28515625" style="220" bestFit="1" customWidth="1"/>
    <col min="11" max="11" width="12.7109375" style="220" bestFit="1" customWidth="1"/>
    <col min="12" max="13" width="9" style="220"/>
    <col min="14" max="14" width="24" style="220" hidden="1" customWidth="1"/>
    <col min="15" max="15" width="11.85546875" style="220" hidden="1" customWidth="1"/>
    <col min="16" max="16" width="9.5703125" style="220" hidden="1" customWidth="1"/>
    <col min="17" max="17" width="10.85546875" style="220" hidden="1" customWidth="1"/>
    <col min="18" max="18" width="11.28515625" style="220" hidden="1" customWidth="1"/>
    <col min="19" max="20" width="9" style="220" hidden="1" customWidth="1"/>
    <col min="21" max="21" width="24" style="220" hidden="1" customWidth="1"/>
    <col min="22" max="22" width="12.5703125" style="220" hidden="1" customWidth="1"/>
    <col min="23" max="23" width="9" style="220" hidden="1" customWidth="1"/>
    <col min="24" max="16384" width="9" style="220"/>
  </cols>
  <sheetData>
    <row r="2" spans="3:22">
      <c r="C2" s="415" t="s">
        <v>311</v>
      </c>
      <c r="D2" s="415"/>
      <c r="E2" s="415"/>
      <c r="F2" s="415"/>
      <c r="G2" s="415"/>
      <c r="H2" s="415"/>
      <c r="I2" s="415"/>
      <c r="J2" s="415"/>
      <c r="K2" s="415"/>
      <c r="L2" s="226"/>
    </row>
    <row r="4" spans="3:22">
      <c r="C4" s="184" t="s">
        <v>145</v>
      </c>
      <c r="D4" s="184"/>
      <c r="E4" s="185" t="s">
        <v>148</v>
      </c>
      <c r="F4" s="185" t="s">
        <v>149</v>
      </c>
      <c r="G4" s="185" t="s">
        <v>150</v>
      </c>
      <c r="H4" s="185" t="s">
        <v>151</v>
      </c>
      <c r="I4" s="185" t="s">
        <v>152</v>
      </c>
      <c r="J4" s="185" t="s">
        <v>153</v>
      </c>
      <c r="K4" s="185" t="s">
        <v>154</v>
      </c>
      <c r="N4" s="345"/>
      <c r="O4" s="345"/>
      <c r="P4" s="345"/>
      <c r="Q4" s="345"/>
      <c r="R4" s="345"/>
      <c r="S4" s="345"/>
      <c r="T4" s="345"/>
      <c r="U4" s="345"/>
      <c r="V4" s="345"/>
    </row>
    <row r="5" spans="3:22">
      <c r="C5" s="223" t="s">
        <v>312</v>
      </c>
      <c r="D5" s="223"/>
      <c r="E5" s="223"/>
      <c r="F5" s="223"/>
      <c r="G5" s="223"/>
      <c r="H5" s="223"/>
      <c r="I5" s="223"/>
      <c r="J5" s="223"/>
      <c r="K5" s="223"/>
      <c r="N5" s="429" t="s">
        <v>313</v>
      </c>
      <c r="O5" s="429"/>
      <c r="P5" s="429"/>
      <c r="Q5" s="429"/>
      <c r="R5" s="429"/>
      <c r="S5" s="345"/>
      <c r="T5" s="345"/>
      <c r="U5" s="429" t="s">
        <v>314</v>
      </c>
      <c r="V5" s="429"/>
    </row>
    <row r="6" spans="3:22">
      <c r="C6" s="223" t="s">
        <v>315</v>
      </c>
      <c r="D6" s="346"/>
      <c r="E6" s="223"/>
      <c r="F6" s="230">
        <f t="shared" ref="F6:K9" si="0">E15</f>
        <v>0</v>
      </c>
      <c r="G6" s="230">
        <f t="shared" si="0"/>
        <v>0</v>
      </c>
      <c r="H6" s="230">
        <f t="shared" si="0"/>
        <v>0</v>
      </c>
      <c r="I6" s="230">
        <f t="shared" si="0"/>
        <v>0</v>
      </c>
      <c r="J6" s="230">
        <f t="shared" si="0"/>
        <v>0</v>
      </c>
      <c r="K6" s="230">
        <f t="shared" si="0"/>
        <v>0</v>
      </c>
      <c r="N6" s="430" t="s">
        <v>316</v>
      </c>
      <c r="O6" s="430"/>
      <c r="P6" s="430"/>
      <c r="Q6" s="430"/>
      <c r="R6" s="430"/>
      <c r="S6" s="345"/>
      <c r="T6" s="345"/>
      <c r="U6" s="430" t="s">
        <v>316</v>
      </c>
      <c r="V6" s="430"/>
    </row>
    <row r="7" spans="3:22">
      <c r="C7" s="223" t="s">
        <v>317</v>
      </c>
      <c r="D7" s="346"/>
      <c r="E7" s="223"/>
      <c r="F7" s="230">
        <f t="shared" si="0"/>
        <v>0</v>
      </c>
      <c r="G7" s="230">
        <f t="shared" si="0"/>
        <v>0</v>
      </c>
      <c r="H7" s="230">
        <f t="shared" si="0"/>
        <v>0</v>
      </c>
      <c r="I7" s="230">
        <f t="shared" si="0"/>
        <v>0</v>
      </c>
      <c r="J7" s="230">
        <f t="shared" si="0"/>
        <v>0</v>
      </c>
      <c r="K7" s="230">
        <f t="shared" si="0"/>
        <v>0</v>
      </c>
      <c r="N7" s="347" t="s">
        <v>145</v>
      </c>
      <c r="O7" s="347" t="s">
        <v>318</v>
      </c>
      <c r="P7" s="347" t="s">
        <v>319</v>
      </c>
      <c r="Q7" s="347" t="s">
        <v>320</v>
      </c>
      <c r="R7" s="347" t="s">
        <v>321</v>
      </c>
      <c r="S7" s="345"/>
      <c r="T7" s="345"/>
      <c r="U7" s="348" t="s">
        <v>145</v>
      </c>
      <c r="V7" s="348" t="s">
        <v>322</v>
      </c>
    </row>
    <row r="8" spans="3:22">
      <c r="C8" s="223" t="s">
        <v>323</v>
      </c>
      <c r="D8" s="346"/>
      <c r="E8" s="223"/>
      <c r="F8" s="230">
        <f t="shared" si="0"/>
        <v>0</v>
      </c>
      <c r="G8" s="230">
        <f t="shared" si="0"/>
        <v>0</v>
      </c>
      <c r="H8" s="230">
        <f t="shared" si="0"/>
        <v>0</v>
      </c>
      <c r="I8" s="230">
        <f t="shared" si="0"/>
        <v>0</v>
      </c>
      <c r="J8" s="230">
        <f t="shared" si="0"/>
        <v>0</v>
      </c>
      <c r="K8" s="230">
        <f t="shared" si="0"/>
        <v>0</v>
      </c>
      <c r="N8" s="349" t="s">
        <v>324</v>
      </c>
      <c r="O8" s="349">
        <f>'13.Facility 2 Grain Processing'!C152</f>
        <v>0</v>
      </c>
      <c r="P8" s="349">
        <f>'13.Facility 2 Grain Processing'!C153</f>
        <v>0</v>
      </c>
      <c r="Q8" s="349">
        <f>'13.Facility 2 Grain Processing'!C154</f>
        <v>0</v>
      </c>
      <c r="R8" s="349">
        <f>'13.Facility 2 Grain Processing'!C155</f>
        <v>1900</v>
      </c>
      <c r="S8" s="345"/>
      <c r="T8" s="345"/>
      <c r="U8" s="349" t="s">
        <v>325</v>
      </c>
      <c r="V8" s="349">
        <f>'17.Facility 6 Horti Processing '!C163</f>
        <v>16500</v>
      </c>
    </row>
    <row r="9" spans="3:22">
      <c r="C9" s="223" t="str">
        <f>C18</f>
        <v xml:space="preserve">Horticulture Processing </v>
      </c>
      <c r="D9" s="223"/>
      <c r="E9" s="223"/>
      <c r="F9" s="230">
        <f>E18</f>
        <v>522718.70555520005</v>
      </c>
      <c r="G9" s="230">
        <f t="shared" si="0"/>
        <v>594592.52756904019</v>
      </c>
      <c r="H9" s="230">
        <f t="shared" si="0"/>
        <v>672346.93502037611</v>
      </c>
      <c r="I9" s="230">
        <f t="shared" si="0"/>
        <v>756390.30189792311</v>
      </c>
      <c r="J9" s="230">
        <f t="shared" si="0"/>
        <v>847157.13812567398</v>
      </c>
      <c r="K9" s="230">
        <f t="shared" si="0"/>
        <v>945109.68222145503</v>
      </c>
      <c r="N9" s="349" t="str">
        <f>'13.Facility 2 Grain Processing'!A156</f>
        <v xml:space="preserve">Paddy processing </v>
      </c>
      <c r="O9" s="349">
        <f>('13.Facility 2 Grain Processing'!B156*'13.Facility 2 Grain Processing'!C156/1000)*100</f>
        <v>52.5</v>
      </c>
      <c r="P9" s="349">
        <f>O9</f>
        <v>52.5</v>
      </c>
      <c r="Q9" s="349">
        <f t="shared" ref="Q9:R9" si="1">P9</f>
        <v>52.5</v>
      </c>
      <c r="R9" s="349">
        <f t="shared" si="1"/>
        <v>52.5</v>
      </c>
      <c r="S9" s="345"/>
      <c r="T9" s="345"/>
      <c r="U9" s="349" t="str">
        <f>'17.Facility 6 Horti Processing '!A164</f>
        <v>Other Consumbales</v>
      </c>
      <c r="V9" s="350">
        <f>'17.Facility 6 Horti Processing '!C164</f>
        <v>500</v>
      </c>
    </row>
    <row r="10" spans="3:22">
      <c r="C10" s="223"/>
      <c r="D10" s="223"/>
      <c r="E10" s="223"/>
      <c r="F10" s="230"/>
      <c r="G10" s="230"/>
      <c r="H10" s="230"/>
      <c r="I10" s="230"/>
      <c r="J10" s="230"/>
      <c r="K10" s="230"/>
      <c r="N10" s="349" t="str">
        <f>'13.Facility 2 Grain Processing'!A157</f>
        <v xml:space="preserve">Daily Labour </v>
      </c>
      <c r="O10" s="351">
        <f>('13.Facility 2 Grain Processing'!B157*'13.Facility 2 Grain Processing'!C157)/('13.Facility 2 Grain Processing'!B5*'13.Facility 2 Grain Processing'!B6)</f>
        <v>27</v>
      </c>
      <c r="P10" s="351">
        <f>O10</f>
        <v>27</v>
      </c>
      <c r="Q10" s="351">
        <f t="shared" ref="Q10:R10" si="2">P10</f>
        <v>27</v>
      </c>
      <c r="R10" s="351">
        <f t="shared" si="2"/>
        <v>27</v>
      </c>
      <c r="S10" s="345"/>
      <c r="T10" s="345"/>
      <c r="U10" s="349" t="str">
        <f>'17.Facility 6 Horti Processing '!A165</f>
        <v xml:space="preserve">Daily Labour </v>
      </c>
      <c r="V10" s="350">
        <f>'17.Facility 6 Horti Processing '!B165*'17.Facility 6 Horti Processing '!C165/('17.Facility 6 Horti Processing '!B5*'17.Facility 6 Horti Processing '!B6)</f>
        <v>45</v>
      </c>
    </row>
    <row r="11" spans="3:22">
      <c r="C11" s="223"/>
      <c r="D11" s="223"/>
      <c r="E11" s="223"/>
      <c r="F11" s="230"/>
      <c r="G11" s="230"/>
      <c r="H11" s="230"/>
      <c r="I11" s="230"/>
      <c r="J11" s="230"/>
      <c r="K11" s="230"/>
      <c r="N11" s="349" t="str">
        <f>'13.Facility 2 Grain Processing'!A158</f>
        <v>Electricity Charges</v>
      </c>
      <c r="O11" s="351">
        <f>('13.Facility 2 Grain Processing'!B158*'13.Facility 2 Grain Processing'!C158)/('13.Facility 2 Grain Processing'!B5*'13.Facility 2 Grain Processing'!B6)</f>
        <v>0</v>
      </c>
      <c r="P11" s="351">
        <f>O11</f>
        <v>0</v>
      </c>
      <c r="Q11" s="351">
        <f t="shared" ref="Q11" si="3">P11</f>
        <v>0</v>
      </c>
      <c r="R11" s="351">
        <f t="shared" ref="R11" si="4">Q11</f>
        <v>0</v>
      </c>
      <c r="S11" s="345"/>
      <c r="T11" s="345"/>
      <c r="U11" s="349" t="str">
        <f>'17.Facility 6 Horti Processing '!A167</f>
        <v>Electricity Charges</v>
      </c>
      <c r="V11" s="349">
        <f>'17.Facility 6 Horti Processing '!B167*'17.Facility 6 Horti Processing '!C167/('17.Facility 6 Horti Processing '!B5*'17.Facility 6 Horti Processing '!B6)</f>
        <v>59.679999999999993</v>
      </c>
    </row>
    <row r="12" spans="3:22">
      <c r="C12" s="223" t="s">
        <v>86</v>
      </c>
      <c r="D12" s="223"/>
      <c r="E12" s="230"/>
      <c r="F12" s="230">
        <f t="shared" ref="F12:K12" si="5">SUM(F6:F11)</f>
        <v>522718.70555520005</v>
      </c>
      <c r="G12" s="230">
        <f t="shared" si="5"/>
        <v>594592.52756904019</v>
      </c>
      <c r="H12" s="230">
        <f t="shared" si="5"/>
        <v>672346.93502037611</v>
      </c>
      <c r="I12" s="230">
        <f t="shared" si="5"/>
        <v>756390.30189792311</v>
      </c>
      <c r="J12" s="230">
        <f t="shared" si="5"/>
        <v>847157.13812567398</v>
      </c>
      <c r="K12" s="230">
        <f t="shared" si="5"/>
        <v>945109.68222145503</v>
      </c>
      <c r="N12" s="349" t="str">
        <f>'13.Facility 2 Grain Processing'!A159</f>
        <v>Loading/Unloading Charges</v>
      </c>
      <c r="O12" s="349">
        <f>'13.Facility 2 Grain Processing'!C159*2</f>
        <v>30</v>
      </c>
      <c r="P12" s="349">
        <f>O12</f>
        <v>30</v>
      </c>
      <c r="Q12" s="349">
        <f t="shared" ref="Q12:R13" si="6">P12</f>
        <v>30</v>
      </c>
      <c r="R12" s="349">
        <f t="shared" si="6"/>
        <v>30</v>
      </c>
      <c r="S12" s="345"/>
      <c r="T12" s="345"/>
      <c r="U12" s="349" t="str">
        <f>'17.Facility 6 Horti Processing '!A168</f>
        <v>Loading/Unloading Charges</v>
      </c>
      <c r="V12" s="349">
        <f>'17.Facility 6 Horti Processing '!C168</f>
        <v>100</v>
      </c>
    </row>
    <row r="13" spans="3:22">
      <c r="C13" s="223"/>
      <c r="D13" s="223"/>
      <c r="E13" s="223"/>
      <c r="F13" s="230"/>
      <c r="G13" s="230"/>
      <c r="H13" s="230"/>
      <c r="I13" s="230"/>
      <c r="J13" s="230"/>
      <c r="K13" s="230"/>
      <c r="N13" s="349" t="str">
        <f>'13.Facility 2 Grain Processing'!A160</f>
        <v>packaging Exp</v>
      </c>
      <c r="O13" s="349">
        <f>'13.Facility 2 Grain Processing'!C160*2</f>
        <v>25</v>
      </c>
      <c r="P13" s="349">
        <f>O13</f>
        <v>25</v>
      </c>
      <c r="Q13" s="349">
        <f t="shared" si="6"/>
        <v>25</v>
      </c>
      <c r="R13" s="349">
        <f t="shared" si="6"/>
        <v>25</v>
      </c>
      <c r="S13" s="345"/>
      <c r="T13" s="345"/>
      <c r="U13" s="349" t="str">
        <f>'17.Facility 6 Horti Processing '!A169</f>
        <v>packaging Exp</v>
      </c>
      <c r="V13" s="223">
        <f>'17.Facility 6 Horti Processing '!C169*100</f>
        <v>1500</v>
      </c>
    </row>
    <row r="14" spans="3:22">
      <c r="C14" s="234" t="s">
        <v>326</v>
      </c>
      <c r="D14" s="223"/>
      <c r="E14" s="223"/>
      <c r="F14" s="230"/>
      <c r="G14" s="230"/>
      <c r="H14" s="230"/>
      <c r="I14" s="230"/>
      <c r="J14" s="230"/>
      <c r="K14" s="230"/>
      <c r="N14" s="349"/>
      <c r="O14" s="223"/>
      <c r="P14" s="223"/>
      <c r="Q14" s="223"/>
      <c r="R14" s="223"/>
      <c r="S14" s="345"/>
      <c r="T14" s="345"/>
      <c r="U14" s="223"/>
      <c r="V14" s="223"/>
    </row>
    <row r="15" spans="3:22" hidden="1">
      <c r="C15" s="223" t="str">
        <f>C6</f>
        <v>Agri Input</v>
      </c>
      <c r="D15" s="221">
        <v>0</v>
      </c>
      <c r="E15" s="230">
        <f>SUM('16.Facility 5 Agri Input'!D197:D252)*$D$15</f>
        <v>0</v>
      </c>
      <c r="F15" s="230">
        <f>SUM('16.Facility 5 Agri Input'!E197:E252)*$D$15</f>
        <v>0</v>
      </c>
      <c r="G15" s="230">
        <f>SUM('16.Facility 5 Agri Input'!F197:F252)*$D$15</f>
        <v>0</v>
      </c>
      <c r="H15" s="230">
        <f>SUM('16.Facility 5 Agri Input'!G197:G252)*$D$15</f>
        <v>0</v>
      </c>
      <c r="I15" s="230">
        <f>SUM('16.Facility 5 Agri Input'!H197:H252)*$D$15</f>
        <v>0</v>
      </c>
      <c r="J15" s="230">
        <f>SUM('16.Facility 5 Agri Input'!I197:I252)*$D$15</f>
        <v>0</v>
      </c>
      <c r="K15" s="230">
        <f>SUM('16.Facility 5 Agri Input'!J197:J252)*$D$15</f>
        <v>0</v>
      </c>
      <c r="N15" s="223"/>
      <c r="O15" s="223"/>
      <c r="P15" s="223"/>
      <c r="Q15" s="223"/>
      <c r="R15" s="223"/>
      <c r="U15" s="223"/>
      <c r="V15" s="223"/>
    </row>
    <row r="16" spans="3:22" hidden="1">
      <c r="C16" s="223" t="str">
        <f>C7</f>
        <v>Trading</v>
      </c>
      <c r="D16" s="221">
        <v>0</v>
      </c>
      <c r="E16" s="230">
        <f>SUM('12.Facility 1 - Trading'!D233:D284)*$D$16</f>
        <v>0</v>
      </c>
      <c r="F16" s="230">
        <f>SUM('12.Facility 1 - Trading'!E233:E284)*$D$16</f>
        <v>0</v>
      </c>
      <c r="G16" s="230">
        <f>SUM('12.Facility 1 - Trading'!F233:F284)*$D$16</f>
        <v>0</v>
      </c>
      <c r="H16" s="230">
        <f>SUM('12.Facility 1 - Trading'!G233:G284)*$D$16</f>
        <v>0</v>
      </c>
      <c r="I16" s="230">
        <f>SUM('12.Facility 1 - Trading'!H233:H284)*$D$16</f>
        <v>0</v>
      </c>
      <c r="J16" s="230">
        <f>SUM('12.Facility 1 - Trading'!I233:I284)*$D$16</f>
        <v>0</v>
      </c>
      <c r="K16" s="230">
        <f>SUM('12.Facility 1 - Trading'!J233:J284)*$D$16</f>
        <v>0</v>
      </c>
      <c r="N16" s="347" t="s">
        <v>327</v>
      </c>
      <c r="O16" s="352">
        <f>SUM(O8:O13)</f>
        <v>134.5</v>
      </c>
      <c r="P16" s="352">
        <f>SUM(P8:P13)</f>
        <v>134.5</v>
      </c>
      <c r="Q16" s="352">
        <f>SUM(Q8:Q13)</f>
        <v>134.5</v>
      </c>
      <c r="R16" s="352">
        <f>SUM(R8:R13)</f>
        <v>2034.5</v>
      </c>
      <c r="U16" s="347" t="s">
        <v>86</v>
      </c>
      <c r="V16" s="352">
        <f>SUM(V8:V15)</f>
        <v>18704.68</v>
      </c>
    </row>
    <row r="17" spans="1:18" hidden="1">
      <c r="C17" s="223" t="str">
        <f>C8</f>
        <v xml:space="preserve">Rice Processing </v>
      </c>
      <c r="D17" s="221">
        <v>0.05</v>
      </c>
      <c r="E17" s="230">
        <f>SUM('13.Facility 2 Grain Processing'!D152:D160)*$D$17</f>
        <v>0</v>
      </c>
      <c r="F17" s="230">
        <f>SUM('13.Facility 2 Grain Processing'!E152:E160)*$D$17</f>
        <v>0</v>
      </c>
      <c r="G17" s="230">
        <f>SUM('13.Facility 2 Grain Processing'!F152:F160)*$D$17</f>
        <v>0</v>
      </c>
      <c r="H17" s="230">
        <f>SUM('13.Facility 2 Grain Processing'!G152:G160)*$D$17</f>
        <v>0</v>
      </c>
      <c r="I17" s="230">
        <f>SUM('13.Facility 2 Grain Processing'!H152:H160)*$D$17</f>
        <v>0</v>
      </c>
      <c r="J17" s="230">
        <f>SUM('13.Facility 2 Grain Processing'!I152:I160)*$D$17</f>
        <v>0</v>
      </c>
      <c r="K17" s="230">
        <f>SUM('13.Facility 2 Grain Processing'!J152:J160)*$D$17</f>
        <v>0</v>
      </c>
    </row>
    <row r="18" spans="1:18">
      <c r="C18" s="223" t="s">
        <v>328</v>
      </c>
      <c r="D18" s="221">
        <v>0.01</v>
      </c>
      <c r="E18" s="230">
        <f>SUM('17.Facility 6 Horti Processing '!D163:D169)*$D$18</f>
        <v>522718.70555520005</v>
      </c>
      <c r="F18" s="230">
        <f>SUM('17.Facility 6 Horti Processing '!E163:E169)*$D$18</f>
        <v>594592.52756904019</v>
      </c>
      <c r="G18" s="230">
        <f>SUM('17.Facility 6 Horti Processing '!F163:F169)*$D$18</f>
        <v>672346.93502037611</v>
      </c>
      <c r="H18" s="230">
        <f>SUM('17.Facility 6 Horti Processing '!G163:G169)*$D$18</f>
        <v>756390.30189792311</v>
      </c>
      <c r="I18" s="230">
        <f>SUM('17.Facility 6 Horti Processing '!H163:H169)*$D$18</f>
        <v>847157.13812567398</v>
      </c>
      <c r="J18" s="230">
        <f>SUM('17.Facility 6 Horti Processing '!I163:I169)*$D$18</f>
        <v>945109.68222145503</v>
      </c>
      <c r="K18" s="230">
        <f>SUM('17.Facility 6 Horti Processing '!J163:J169)*$D$18</f>
        <v>1050739.5878815004</v>
      </c>
    </row>
    <row r="19" spans="1:18">
      <c r="C19" s="223"/>
      <c r="D19" s="270"/>
      <c r="E19" s="230"/>
      <c r="F19" s="230"/>
      <c r="G19" s="230"/>
      <c r="H19" s="230"/>
      <c r="I19" s="230"/>
      <c r="J19" s="230"/>
      <c r="K19" s="230"/>
    </row>
    <row r="20" spans="1:18">
      <c r="C20" s="223"/>
      <c r="D20" s="223"/>
      <c r="E20" s="223"/>
      <c r="F20" s="230"/>
      <c r="G20" s="230"/>
      <c r="H20" s="230"/>
      <c r="I20" s="230"/>
      <c r="J20" s="230"/>
      <c r="K20" s="230"/>
    </row>
    <row r="21" spans="1:18">
      <c r="C21" s="223" t="s">
        <v>86</v>
      </c>
      <c r="D21" s="223"/>
      <c r="E21" s="222">
        <f t="shared" ref="E21:K21" si="7">SUM(E15:E20)</f>
        <v>522718.70555520005</v>
      </c>
      <c r="F21" s="230">
        <f t="shared" si="7"/>
        <v>594592.52756904019</v>
      </c>
      <c r="G21" s="230">
        <f t="shared" si="7"/>
        <v>672346.93502037611</v>
      </c>
      <c r="H21" s="230">
        <f t="shared" si="7"/>
        <v>756390.30189792311</v>
      </c>
      <c r="I21" s="230">
        <f t="shared" si="7"/>
        <v>847157.13812567398</v>
      </c>
      <c r="J21" s="230">
        <f t="shared" si="7"/>
        <v>945109.68222145503</v>
      </c>
      <c r="K21" s="230">
        <f t="shared" si="7"/>
        <v>1050739.5878815004</v>
      </c>
    </row>
    <row r="23" spans="1:18" ht="41.1" customHeight="1">
      <c r="A23" s="423" t="s">
        <v>329</v>
      </c>
      <c r="B23" s="423"/>
      <c r="C23" s="423"/>
      <c r="D23" s="423"/>
      <c r="E23" s="423"/>
      <c r="F23" s="423"/>
      <c r="G23" s="423"/>
      <c r="H23" s="423"/>
      <c r="I23" s="423"/>
      <c r="J23" s="423"/>
      <c r="K23" s="423"/>
      <c r="L23" s="353"/>
      <c r="M23" s="353"/>
      <c r="N23" s="353"/>
      <c r="O23" s="209"/>
      <c r="P23" s="209"/>
      <c r="Q23" s="209"/>
      <c r="R23" s="209"/>
    </row>
    <row r="24" spans="1:18">
      <c r="A24" s="220" t="s">
        <v>308</v>
      </c>
    </row>
    <row r="25" spans="1:18">
      <c r="A25" s="220">
        <v>1</v>
      </c>
      <c r="B25" s="220" t="s">
        <v>739</v>
      </c>
    </row>
    <row r="28" spans="1:18">
      <c r="B28" s="415" t="s">
        <v>330</v>
      </c>
      <c r="C28" s="415"/>
      <c r="D28" s="415"/>
      <c r="E28" s="415"/>
      <c r="F28" s="415"/>
      <c r="G28" s="415"/>
      <c r="H28" s="415"/>
      <c r="I28" s="415"/>
      <c r="J28" s="415"/>
      <c r="K28" s="415"/>
    </row>
    <row r="30" spans="1:18">
      <c r="B30" s="436" t="s">
        <v>79</v>
      </c>
      <c r="C30" s="436" t="s">
        <v>145</v>
      </c>
      <c r="D30" s="437" t="s">
        <v>331</v>
      </c>
      <c r="E30" s="431" t="s">
        <v>81</v>
      </c>
      <c r="F30" s="432"/>
      <c r="G30" s="432"/>
      <c r="H30" s="432"/>
      <c r="I30" s="432"/>
      <c r="J30" s="432"/>
      <c r="K30" s="432"/>
    </row>
    <row r="31" spans="1:18">
      <c r="B31" s="436"/>
      <c r="C31" s="436"/>
      <c r="D31" s="438"/>
      <c r="E31" s="101" t="s">
        <v>148</v>
      </c>
      <c r="F31" s="101" t="s">
        <v>149</v>
      </c>
      <c r="G31" s="101" t="s">
        <v>150</v>
      </c>
      <c r="H31" s="101" t="s">
        <v>151</v>
      </c>
      <c r="I31" s="101" t="s">
        <v>152</v>
      </c>
      <c r="J31" s="101" t="s">
        <v>153</v>
      </c>
      <c r="K31" s="101" t="s">
        <v>154</v>
      </c>
    </row>
    <row r="32" spans="1:18">
      <c r="B32" s="173"/>
      <c r="C32" s="174"/>
      <c r="D32" s="174"/>
      <c r="E32" s="175"/>
      <c r="F32" s="175"/>
      <c r="G32" s="175"/>
      <c r="H32" s="175"/>
      <c r="I32" s="175"/>
      <c r="J32" s="175"/>
      <c r="K32" s="175"/>
    </row>
    <row r="33" spans="2:11">
      <c r="B33" s="176" t="s">
        <v>17</v>
      </c>
      <c r="C33" s="177" t="s">
        <v>332</v>
      </c>
      <c r="D33" s="178"/>
      <c r="E33" s="179"/>
      <c r="F33" s="179"/>
      <c r="G33" s="179"/>
      <c r="H33" s="179"/>
      <c r="I33" s="179"/>
      <c r="J33" s="179"/>
      <c r="K33" s="179"/>
    </row>
    <row r="34" spans="2:11" hidden="1">
      <c r="B34" s="116">
        <v>1</v>
      </c>
      <c r="C34" s="180" t="s">
        <v>315</v>
      </c>
      <c r="D34" s="178">
        <v>0</v>
      </c>
      <c r="E34" s="179">
        <f>('16.Facility 5 Agri Input'!D191/365)*$D$34</f>
        <v>0</v>
      </c>
      <c r="F34" s="179">
        <f>('16.Facility 5 Agri Input'!E191/365)*$D$34</f>
        <v>0</v>
      </c>
      <c r="G34" s="179">
        <f>('16.Facility 5 Agri Input'!F191/365)*$D$34</f>
        <v>0</v>
      </c>
      <c r="H34" s="179">
        <f>('16.Facility 5 Agri Input'!G191/365)*$D$34</f>
        <v>0</v>
      </c>
      <c r="I34" s="179">
        <f>('16.Facility 5 Agri Input'!H191/365)*$D$34</f>
        <v>0</v>
      </c>
      <c r="J34" s="179">
        <f>('16.Facility 5 Agri Input'!I191/365)*$D$34</f>
        <v>0</v>
      </c>
      <c r="K34" s="179">
        <f>('16.Facility 5 Agri Input'!J191/365)*$D$34</f>
        <v>0</v>
      </c>
    </row>
    <row r="35" spans="2:11" hidden="1">
      <c r="B35" s="116">
        <v>2</v>
      </c>
      <c r="C35" s="180" t="s">
        <v>128</v>
      </c>
      <c r="D35" s="178">
        <v>0</v>
      </c>
      <c r="E35" s="179">
        <f>('15. Facility 4 Custom Hiring'!E39/365)*$D$35</f>
        <v>0</v>
      </c>
      <c r="F35" s="179">
        <f>('15. Facility 4 Custom Hiring'!F39/365)*$D$35</f>
        <v>0</v>
      </c>
      <c r="G35" s="179">
        <f>('15. Facility 4 Custom Hiring'!G39/365)*$D$35</f>
        <v>0</v>
      </c>
      <c r="H35" s="179">
        <f>('15. Facility 4 Custom Hiring'!H39/365)*$D$35</f>
        <v>0</v>
      </c>
      <c r="I35" s="179">
        <f>('15. Facility 4 Custom Hiring'!I39/365)*$D$35</f>
        <v>0</v>
      </c>
      <c r="J35" s="179">
        <f>('15. Facility 4 Custom Hiring'!J39/365)*$D$35</f>
        <v>0</v>
      </c>
      <c r="K35" s="179">
        <f>('15. Facility 4 Custom Hiring'!K39/365)*$D$35</f>
        <v>0</v>
      </c>
    </row>
    <row r="36" spans="2:11">
      <c r="B36" s="116">
        <v>1</v>
      </c>
      <c r="C36" s="180" t="s">
        <v>317</v>
      </c>
      <c r="D36" s="178">
        <v>14</v>
      </c>
      <c r="E36" s="179">
        <f>('12.Facility 1 - Trading'!D229/365)*$D$36</f>
        <v>0</v>
      </c>
      <c r="F36" s="179">
        <f>('12.Facility 1 - Trading'!E229/365)*$D$36</f>
        <v>0</v>
      </c>
      <c r="G36" s="179">
        <f>('12.Facility 1 - Trading'!F229/365)*$D$36</f>
        <v>0</v>
      </c>
      <c r="H36" s="179">
        <f>('12.Facility 1 - Trading'!G229/365)*$D$36</f>
        <v>0</v>
      </c>
      <c r="I36" s="179">
        <f>('12.Facility 1 - Trading'!H229/365)*$D$36</f>
        <v>0</v>
      </c>
      <c r="J36" s="179">
        <f>('12.Facility 1 - Trading'!I229/365)*$D$36</f>
        <v>0</v>
      </c>
      <c r="K36" s="179">
        <f>('12.Facility 1 - Trading'!J229/365)*$D$36</f>
        <v>0</v>
      </c>
    </row>
    <row r="37" spans="2:11" hidden="1">
      <c r="B37" s="116">
        <v>4</v>
      </c>
      <c r="C37" s="180" t="s">
        <v>333</v>
      </c>
      <c r="D37" s="178">
        <v>7</v>
      </c>
      <c r="E37" s="179">
        <f>('13.Facility 2 Grain Processing'!D148/365)*$D$37</f>
        <v>0</v>
      </c>
      <c r="F37" s="179">
        <f>('13.Facility 2 Grain Processing'!E148/365)*$D$37</f>
        <v>0</v>
      </c>
      <c r="G37" s="179">
        <f>('13.Facility 2 Grain Processing'!F148/365)*$D$37</f>
        <v>0</v>
      </c>
      <c r="H37" s="179">
        <f>('13.Facility 2 Grain Processing'!G148/365)*$D$37</f>
        <v>0</v>
      </c>
      <c r="I37" s="179">
        <f>('13.Facility 2 Grain Processing'!H148/365)*$D$37</f>
        <v>0</v>
      </c>
      <c r="J37" s="179">
        <f>('13.Facility 2 Grain Processing'!I148/365)*$D$37</f>
        <v>0</v>
      </c>
      <c r="K37" s="179">
        <f>('13.Facility 2 Grain Processing'!J148/365)*$D$37</f>
        <v>0</v>
      </c>
    </row>
    <row r="38" spans="2:11" hidden="1">
      <c r="B38" s="116">
        <v>5</v>
      </c>
      <c r="C38" s="180" t="s">
        <v>334</v>
      </c>
      <c r="D38" s="178">
        <v>14</v>
      </c>
      <c r="E38" s="179">
        <f>('14. Facility 3 Warehouse'!D23/365)*$D$38</f>
        <v>0</v>
      </c>
      <c r="F38" s="179">
        <f>('14. Facility 3 Warehouse'!E23/365)*$D$38</f>
        <v>0</v>
      </c>
      <c r="G38" s="179">
        <f>('14. Facility 3 Warehouse'!F23/365)*$D$38</f>
        <v>0</v>
      </c>
      <c r="H38" s="179">
        <f>('14. Facility 3 Warehouse'!G23/365)*$D$38</f>
        <v>0</v>
      </c>
      <c r="I38" s="179">
        <f>('14. Facility 3 Warehouse'!H23/365)*$D$38</f>
        <v>0</v>
      </c>
      <c r="J38" s="179">
        <f>('14. Facility 3 Warehouse'!I23/365)*$D$38</f>
        <v>0</v>
      </c>
      <c r="K38" s="179">
        <f>('14. Facility 3 Warehouse'!J23/365)*$D$38</f>
        <v>0</v>
      </c>
    </row>
    <row r="39" spans="2:11" ht="30">
      <c r="B39" s="116">
        <v>2</v>
      </c>
      <c r="C39" s="180" t="s">
        <v>335</v>
      </c>
      <c r="D39" s="178">
        <v>14</v>
      </c>
      <c r="E39" s="179">
        <f>('17.Facility 6 Horti Processing '!D159/365)*$D$39</f>
        <v>2217360.4420284498</v>
      </c>
      <c r="F39" s="179">
        <f>('17.Facility 6 Horti Processing '!E159/365)*$D$39</f>
        <v>2543365.6739211064</v>
      </c>
      <c r="G39" s="179">
        <f>('17.Facility 6 Horti Processing '!F159/365)*$D$39</f>
        <v>2876101.7882009787</v>
      </c>
      <c r="H39" s="179">
        <f>('17.Facility 6 Horti Processing '!G159/365)*$D$39</f>
        <v>3235753.0997240343</v>
      </c>
      <c r="I39" s="179">
        <f>('17.Facility 6 Horti Processing '!H159/365)*$D$39</f>
        <v>3624179.2879288946</v>
      </c>
      <c r="J39" s="179">
        <f>('17.Facility 6 Horti Processing '!I159/365)*$D$39</f>
        <v>4043358.7122049304</v>
      </c>
      <c r="K39" s="179">
        <f>('17.Facility 6 Horti Processing '!J159/365)*$D$39</f>
        <v>4495395.6306887474</v>
      </c>
    </row>
    <row r="40" spans="2:11">
      <c r="B40" s="116"/>
      <c r="C40" s="180"/>
      <c r="D40" s="178"/>
      <c r="E40" s="179"/>
      <c r="F40" s="179"/>
      <c r="G40" s="179"/>
      <c r="H40" s="179"/>
      <c r="I40" s="179"/>
      <c r="J40" s="179"/>
      <c r="K40" s="179"/>
    </row>
    <row r="41" spans="2:11">
      <c r="B41" s="176"/>
      <c r="C41" s="177" t="s">
        <v>129</v>
      </c>
      <c r="D41" s="178"/>
      <c r="E41" s="179">
        <f>SUM(E34:E40)</f>
        <v>2217360.4420284498</v>
      </c>
      <c r="F41" s="179">
        <f t="shared" ref="F41:K41" si="8">SUM(F34:F40)</f>
        <v>2543365.6739211064</v>
      </c>
      <c r="G41" s="179">
        <f t="shared" si="8"/>
        <v>2876101.7882009787</v>
      </c>
      <c r="H41" s="179">
        <f t="shared" si="8"/>
        <v>3235753.0997240343</v>
      </c>
      <c r="I41" s="179">
        <f t="shared" si="8"/>
        <v>3624179.2879288946</v>
      </c>
      <c r="J41" s="179">
        <f t="shared" si="8"/>
        <v>4043358.7122049304</v>
      </c>
      <c r="K41" s="179">
        <f t="shared" si="8"/>
        <v>4495395.6306887474</v>
      </c>
    </row>
    <row r="42" spans="2:11">
      <c r="B42" s="176" t="s">
        <v>59</v>
      </c>
      <c r="C42" s="177" t="s">
        <v>326</v>
      </c>
      <c r="D42" s="178"/>
      <c r="E42" s="179">
        <f>'5.Closing Stock &amp; W Capital'!E21</f>
        <v>522718.70555520005</v>
      </c>
      <c r="F42" s="179">
        <f>'5.Closing Stock &amp; W Capital'!F21</f>
        <v>594592.52756904019</v>
      </c>
      <c r="G42" s="179">
        <f>'5.Closing Stock &amp; W Capital'!G21</f>
        <v>672346.93502037611</v>
      </c>
      <c r="H42" s="179">
        <f>'5.Closing Stock &amp; W Capital'!H21</f>
        <v>756390.30189792311</v>
      </c>
      <c r="I42" s="179">
        <f>'5.Closing Stock &amp; W Capital'!I21</f>
        <v>847157.13812567398</v>
      </c>
      <c r="J42" s="179">
        <f>'5.Closing Stock &amp; W Capital'!J21</f>
        <v>945109.68222145503</v>
      </c>
      <c r="K42" s="179">
        <f>'5.Closing Stock &amp; W Capital'!K21</f>
        <v>1050739.5878815004</v>
      </c>
    </row>
    <row r="43" spans="2:11">
      <c r="B43" s="176"/>
      <c r="C43" s="180"/>
      <c r="D43" s="178"/>
      <c r="E43" s="179"/>
      <c r="F43" s="179"/>
      <c r="G43" s="179"/>
      <c r="H43" s="179"/>
      <c r="I43" s="179"/>
      <c r="J43" s="179"/>
      <c r="K43" s="179"/>
    </row>
    <row r="44" spans="2:11">
      <c r="B44" s="433" t="s">
        <v>86</v>
      </c>
      <c r="C44" s="434"/>
      <c r="D44" s="181"/>
      <c r="E44" s="182">
        <f>SUM(E41:E42)</f>
        <v>2740079.14758365</v>
      </c>
      <c r="F44" s="182">
        <f t="shared" ref="F44:K44" si="9">SUM(F41:F42)</f>
        <v>3137958.2014901466</v>
      </c>
      <c r="G44" s="182">
        <f t="shared" si="9"/>
        <v>3548448.7232213547</v>
      </c>
      <c r="H44" s="182">
        <f t="shared" si="9"/>
        <v>3992143.4016219573</v>
      </c>
      <c r="I44" s="182">
        <f t="shared" si="9"/>
        <v>4471336.426054569</v>
      </c>
      <c r="J44" s="182">
        <f t="shared" si="9"/>
        <v>4988468.3944263849</v>
      </c>
      <c r="K44" s="182">
        <f t="shared" si="9"/>
        <v>5546135.2185702473</v>
      </c>
    </row>
    <row r="45" spans="2:11">
      <c r="B45" s="176"/>
      <c r="C45" s="177"/>
      <c r="D45" s="178"/>
      <c r="E45" s="179"/>
      <c r="F45" s="179"/>
      <c r="G45" s="179"/>
      <c r="H45" s="179"/>
      <c r="I45" s="179"/>
      <c r="J45" s="179"/>
      <c r="K45" s="179"/>
    </row>
    <row r="46" spans="2:11" ht="34.5" customHeight="1">
      <c r="B46" s="176" t="s">
        <v>130</v>
      </c>
      <c r="C46" s="180" t="s">
        <v>336</v>
      </c>
      <c r="D46" s="178"/>
      <c r="E46" s="179"/>
      <c r="F46" s="179"/>
      <c r="G46" s="179"/>
      <c r="H46" s="179"/>
      <c r="I46" s="179"/>
      <c r="J46" s="179"/>
      <c r="K46" s="179"/>
    </row>
    <row r="47" spans="2:11" hidden="1">
      <c r="B47" s="116">
        <v>1</v>
      </c>
      <c r="C47" s="180" t="str">
        <f t="shared" ref="C47:C52" si="10">C34</f>
        <v>Agri Input</v>
      </c>
      <c r="D47" s="178">
        <v>0</v>
      </c>
      <c r="E47" s="179">
        <f>('16.Facility 5 Agri Input'!D262/365)*$D$47</f>
        <v>0</v>
      </c>
      <c r="F47" s="179">
        <f>('16.Facility 5 Agri Input'!E262/365)*$D$47</f>
        <v>0</v>
      </c>
      <c r="G47" s="179">
        <f>('16.Facility 5 Agri Input'!F262/365)*$D$47</f>
        <v>0</v>
      </c>
      <c r="H47" s="179">
        <f>('16.Facility 5 Agri Input'!G262/365)*$D$47</f>
        <v>0</v>
      </c>
      <c r="I47" s="179">
        <f>('16.Facility 5 Agri Input'!H262/365)*$D$47</f>
        <v>0</v>
      </c>
      <c r="J47" s="179">
        <f>('16.Facility 5 Agri Input'!I262/365)*$D$47</f>
        <v>0</v>
      </c>
      <c r="K47" s="179">
        <f>('16.Facility 5 Agri Input'!J262/365)*$D$47</f>
        <v>0</v>
      </c>
    </row>
    <row r="48" spans="2:11" hidden="1">
      <c r="B48" s="116">
        <v>2</v>
      </c>
      <c r="C48" s="180" t="str">
        <f t="shared" si="10"/>
        <v>Custom Hiring</v>
      </c>
      <c r="D48" s="178">
        <v>0</v>
      </c>
      <c r="E48" s="179">
        <f>('15. Facility 4 Custom Hiring'!E49/365)*$D$49</f>
        <v>0</v>
      </c>
      <c r="F48" s="179">
        <f>('15. Facility 4 Custom Hiring'!F49/365)*$D$49</f>
        <v>0</v>
      </c>
      <c r="G48" s="179">
        <f>('15. Facility 4 Custom Hiring'!G49/365)*$D$49</f>
        <v>0</v>
      </c>
      <c r="H48" s="179">
        <f>('15. Facility 4 Custom Hiring'!H49/365)*$D$49</f>
        <v>0</v>
      </c>
      <c r="I48" s="179">
        <f>('15. Facility 4 Custom Hiring'!I49/365)*$D$49</f>
        <v>0</v>
      </c>
      <c r="J48" s="179">
        <f>('15. Facility 4 Custom Hiring'!J49/365)*$D$49</f>
        <v>0</v>
      </c>
      <c r="K48" s="179">
        <f>('15. Facility 4 Custom Hiring'!K49/365)*$D$49</f>
        <v>0</v>
      </c>
    </row>
    <row r="49" spans="1:12">
      <c r="B49" s="116">
        <v>1</v>
      </c>
      <c r="C49" s="180" t="str">
        <f t="shared" si="10"/>
        <v>Trading</v>
      </c>
      <c r="D49" s="178">
        <v>14</v>
      </c>
      <c r="E49" s="179">
        <f>('12.Facility 1 - Trading'!D292/365)*$D$49</f>
        <v>0</v>
      </c>
      <c r="F49" s="179">
        <f>('12.Facility 1 - Trading'!E292/365)*$D$49</f>
        <v>0</v>
      </c>
      <c r="G49" s="179">
        <f>('12.Facility 1 - Trading'!F292/365)*$D$49</f>
        <v>0</v>
      </c>
      <c r="H49" s="179">
        <f>('12.Facility 1 - Trading'!G292/365)*$D$49</f>
        <v>0</v>
      </c>
      <c r="I49" s="179">
        <f>('12.Facility 1 - Trading'!H292/365)*$D$49</f>
        <v>0</v>
      </c>
      <c r="J49" s="179">
        <f>('12.Facility 1 - Trading'!I292/365)*$D$49</f>
        <v>0</v>
      </c>
      <c r="K49" s="179">
        <f>('12.Facility 1 - Trading'!J292/365)*$D$49</f>
        <v>0</v>
      </c>
    </row>
    <row r="50" spans="1:12" hidden="1">
      <c r="B50" s="116">
        <v>4</v>
      </c>
      <c r="C50" s="180" t="str">
        <f t="shared" si="10"/>
        <v>Rice Mill</v>
      </c>
      <c r="D50" s="178">
        <v>7</v>
      </c>
      <c r="E50" s="179">
        <f>('13.Facility 2 Grain Processing'!D169/365)*$D$50</f>
        <v>0</v>
      </c>
      <c r="F50" s="179">
        <f>('13.Facility 2 Grain Processing'!E169/365)*$D$50</f>
        <v>0</v>
      </c>
      <c r="G50" s="179">
        <f>('13.Facility 2 Grain Processing'!F169/365)*$D$50</f>
        <v>0</v>
      </c>
      <c r="H50" s="179">
        <f>('13.Facility 2 Grain Processing'!G169/365)*$D$50</f>
        <v>0</v>
      </c>
      <c r="I50" s="179">
        <f>('13.Facility 2 Grain Processing'!H169/365)*$D$50</f>
        <v>0</v>
      </c>
      <c r="J50" s="179">
        <f>('13.Facility 2 Grain Processing'!I169/365)*$D$50</f>
        <v>0</v>
      </c>
      <c r="K50" s="179">
        <f>('13.Facility 2 Grain Processing'!J169/365)*$D$50</f>
        <v>0</v>
      </c>
    </row>
    <row r="51" spans="1:12" hidden="1">
      <c r="B51" s="116">
        <v>5</v>
      </c>
      <c r="C51" s="180" t="str">
        <f t="shared" si="10"/>
        <v>Warehouse</v>
      </c>
      <c r="D51" s="178">
        <v>7</v>
      </c>
      <c r="E51" s="179">
        <f>('14. Facility 3 Warehouse'!D34/365)*$D$51</f>
        <v>0</v>
      </c>
      <c r="F51" s="179">
        <f>('14. Facility 3 Warehouse'!E34/365)*$D$51</f>
        <v>0</v>
      </c>
      <c r="G51" s="179">
        <f>('14. Facility 3 Warehouse'!F34/365)*$D$51</f>
        <v>0</v>
      </c>
      <c r="H51" s="179">
        <f>('14. Facility 3 Warehouse'!G34/365)*$D$51</f>
        <v>0</v>
      </c>
      <c r="I51" s="179">
        <f>('14. Facility 3 Warehouse'!H34/365)*$D$51</f>
        <v>0</v>
      </c>
      <c r="J51" s="179">
        <f>('14. Facility 3 Warehouse'!I34/365)*$D$51</f>
        <v>0</v>
      </c>
      <c r="K51" s="179">
        <f>('14. Facility 3 Warehouse'!J34/365)*$D$51</f>
        <v>0</v>
      </c>
    </row>
    <row r="52" spans="1:12" ht="30">
      <c r="B52" s="116">
        <v>2</v>
      </c>
      <c r="C52" s="180" t="str">
        <f t="shared" si="10"/>
        <v>Processing Unit - Horti Commodity</v>
      </c>
      <c r="D52" s="178">
        <v>14</v>
      </c>
      <c r="E52" s="179">
        <f>('17.Facility 6 Horti Processing '!D178/365)*$D$52</f>
        <v>2008770.8837558005</v>
      </c>
      <c r="F52" s="179">
        <f>('17.Facility 6 Horti Processing '!E178/365)*$D$52</f>
        <v>2305026.3648688616</v>
      </c>
      <c r="G52" s="179">
        <f>('17.Facility 6 Horti Processing '!F178/365)*$D$52</f>
        <v>2606587.837959575</v>
      </c>
      <c r="H52" s="179">
        <f>('17.Facility 6 Horti Processing '!G178/365)*$D$52</f>
        <v>2932542.8924471862</v>
      </c>
      <c r="I52" s="179">
        <f>('17.Facility 6 Horti Processing '!H178/365)*$D$52</f>
        <v>3284576.982788662</v>
      </c>
      <c r="J52" s="179">
        <f>('17.Facility 6 Horti Processing '!I178/365)*$D$52</f>
        <v>3664483.124933165</v>
      </c>
      <c r="K52" s="179">
        <f>('17.Facility 6 Horti Processing '!J178/365)*$D$52</f>
        <v>4074168.4388351487</v>
      </c>
    </row>
    <row r="53" spans="1:12">
      <c r="B53" s="116"/>
      <c r="C53" s="180"/>
      <c r="D53" s="178"/>
      <c r="E53" s="179"/>
      <c r="F53" s="179"/>
      <c r="G53" s="179"/>
      <c r="H53" s="179"/>
      <c r="I53" s="179"/>
      <c r="J53" s="179"/>
      <c r="K53" s="179"/>
    </row>
    <row r="54" spans="1:12">
      <c r="B54" s="103"/>
      <c r="C54" s="177" t="s">
        <v>86</v>
      </c>
      <c r="D54" s="178"/>
      <c r="E54" s="182">
        <f>SUM(E47:E53)</f>
        <v>2008770.8837558005</v>
      </c>
      <c r="F54" s="182">
        <f t="shared" ref="F54:K54" si="11">SUM(F47:F53)</f>
        <v>2305026.3648688616</v>
      </c>
      <c r="G54" s="182">
        <f t="shared" si="11"/>
        <v>2606587.837959575</v>
      </c>
      <c r="H54" s="182">
        <f t="shared" si="11"/>
        <v>2932542.8924471862</v>
      </c>
      <c r="I54" s="182">
        <f t="shared" si="11"/>
        <v>3284576.982788662</v>
      </c>
      <c r="J54" s="182">
        <f t="shared" si="11"/>
        <v>3664483.124933165</v>
      </c>
      <c r="K54" s="182">
        <f t="shared" si="11"/>
        <v>4074168.4388351487</v>
      </c>
    </row>
    <row r="55" spans="1:12">
      <c r="B55" s="176" t="s">
        <v>132</v>
      </c>
      <c r="C55" s="177" t="s">
        <v>85</v>
      </c>
      <c r="D55" s="178"/>
      <c r="E55" s="182">
        <f>E44-E54</f>
        <v>731308.26382784941</v>
      </c>
      <c r="F55" s="182">
        <f t="shared" ref="F55:K55" si="12">F44-F54</f>
        <v>832931.83662128495</v>
      </c>
      <c r="G55" s="182">
        <f t="shared" si="12"/>
        <v>941860.88526177965</v>
      </c>
      <c r="H55" s="182">
        <f t="shared" si="12"/>
        <v>1059600.5091747711</v>
      </c>
      <c r="I55" s="182">
        <f t="shared" si="12"/>
        <v>1186759.443265907</v>
      </c>
      <c r="J55" s="182">
        <f t="shared" si="12"/>
        <v>1323985.2694932199</v>
      </c>
      <c r="K55" s="182">
        <f t="shared" si="12"/>
        <v>1471966.7797350986</v>
      </c>
    </row>
    <row r="56" spans="1:12">
      <c r="B56" s="176"/>
      <c r="C56" s="177" t="s">
        <v>91</v>
      </c>
      <c r="D56" s="183">
        <v>0.25</v>
      </c>
      <c r="E56" s="182">
        <f>E55*$D$56</f>
        <v>182827.06595696235</v>
      </c>
      <c r="F56" s="182"/>
      <c r="G56" s="182"/>
      <c r="H56" s="182"/>
      <c r="I56" s="182"/>
      <c r="J56" s="182"/>
      <c r="K56" s="182"/>
    </row>
    <row r="58" spans="1:12">
      <c r="E58" s="242"/>
    </row>
    <row r="59" spans="1:12" ht="36.950000000000003" customHeight="1">
      <c r="A59" s="420" t="s">
        <v>337</v>
      </c>
      <c r="B59" s="435"/>
      <c r="C59" s="435"/>
      <c r="D59" s="435"/>
      <c r="E59" s="435"/>
      <c r="F59" s="435"/>
      <c r="G59" s="435"/>
      <c r="H59" s="435"/>
      <c r="I59" s="435"/>
      <c r="J59" s="435"/>
      <c r="K59" s="435"/>
      <c r="L59" s="435"/>
    </row>
    <row r="60" spans="1:12">
      <c r="A60" s="220" t="s">
        <v>338</v>
      </c>
    </row>
    <row r="61" spans="1:12">
      <c r="A61" s="220">
        <v>1</v>
      </c>
      <c r="B61" s="220" t="s">
        <v>339</v>
      </c>
    </row>
    <row r="62" spans="1:12">
      <c r="A62" s="220">
        <v>2</v>
      </c>
      <c r="B62" s="220" t="s">
        <v>340</v>
      </c>
    </row>
    <row r="63" spans="1:12">
      <c r="A63" s="220">
        <v>3</v>
      </c>
      <c r="B63" s="220" t="s">
        <v>341</v>
      </c>
    </row>
  </sheetData>
  <mergeCells count="13">
    <mergeCell ref="A23:K23"/>
    <mergeCell ref="B28:K28"/>
    <mergeCell ref="E30:K30"/>
    <mergeCell ref="B44:C44"/>
    <mergeCell ref="A59:L59"/>
    <mergeCell ref="B30:B31"/>
    <mergeCell ref="C30:C31"/>
    <mergeCell ref="D30:D31"/>
    <mergeCell ref="C2:K2"/>
    <mergeCell ref="N5:R5"/>
    <mergeCell ref="U5:V5"/>
    <mergeCell ref="N6:R6"/>
    <mergeCell ref="U6:V6"/>
  </mergeCells>
  <pageMargins left="0.7" right="0.7" top="0.75" bottom="0.75" header="0.3" footer="0.3"/>
  <pageSetup paperSize="9" scale="37" orientation="portrait" r:id="rId1"/>
</worksheet>
</file>

<file path=xl/worksheets/sheet7.xml><?xml version="1.0" encoding="utf-8"?>
<worksheet xmlns="http://schemas.openxmlformats.org/spreadsheetml/2006/main" xmlns:r="http://schemas.openxmlformats.org/officeDocument/2006/relationships">
  <dimension ref="A2:J58"/>
  <sheetViews>
    <sheetView view="pageBreakPreview" topLeftCell="A39" zoomScale="80" workbookViewId="0">
      <selection activeCell="F55" sqref="F55"/>
    </sheetView>
  </sheetViews>
  <sheetFormatPr defaultColWidth="9" defaultRowHeight="15"/>
  <cols>
    <col min="1" max="1" width="42.28515625" style="220" customWidth="1"/>
    <col min="2" max="2" width="15.5703125" style="220" customWidth="1"/>
    <col min="3" max="8" width="17.5703125" style="220" customWidth="1"/>
    <col min="9" max="9" width="8.5703125" style="220" customWidth="1"/>
    <col min="10" max="10" width="14.28515625" style="220" customWidth="1"/>
    <col min="11" max="11" width="9.5703125" style="220" customWidth="1"/>
    <col min="12" max="16384" width="9" style="220"/>
  </cols>
  <sheetData>
    <row r="2" spans="1:8">
      <c r="A2" s="416" t="s">
        <v>342</v>
      </c>
      <c r="B2" s="416"/>
      <c r="C2" s="416"/>
      <c r="D2" s="416"/>
      <c r="E2" s="416"/>
      <c r="F2" s="416"/>
      <c r="G2" s="416"/>
      <c r="H2" s="416"/>
    </row>
    <row r="4" spans="1:8">
      <c r="B4" s="254"/>
      <c r="C4" s="254"/>
      <c r="D4" s="254"/>
      <c r="E4" s="254"/>
      <c r="F4" s="254"/>
    </row>
    <row r="5" spans="1:8">
      <c r="A5" s="246" t="s">
        <v>145</v>
      </c>
      <c r="B5" s="247" t="s">
        <v>148</v>
      </c>
      <c r="C5" s="247" t="s">
        <v>149</v>
      </c>
      <c r="D5" s="247" t="s">
        <v>150</v>
      </c>
      <c r="E5" s="247" t="s">
        <v>151</v>
      </c>
      <c r="F5" s="247" t="s">
        <v>152</v>
      </c>
      <c r="G5" s="247" t="s">
        <v>153</v>
      </c>
      <c r="H5" s="247" t="s">
        <v>154</v>
      </c>
    </row>
    <row r="6" spans="1:8">
      <c r="A6" s="234" t="s">
        <v>343</v>
      </c>
      <c r="B6" s="223"/>
      <c r="C6" s="223"/>
      <c r="D6" s="223"/>
      <c r="E6" s="223"/>
      <c r="F6" s="223"/>
      <c r="G6" s="223"/>
      <c r="H6" s="223"/>
    </row>
    <row r="7" spans="1:8">
      <c r="A7" s="223"/>
      <c r="B7" s="223"/>
      <c r="C7" s="223"/>
      <c r="D7" s="223"/>
      <c r="E7" s="223"/>
      <c r="F7" s="223"/>
      <c r="G7" s="223"/>
      <c r="H7" s="223"/>
    </row>
    <row r="8" spans="1:8" hidden="1">
      <c r="A8" s="223" t="s">
        <v>734</v>
      </c>
      <c r="B8" s="230">
        <f>'12.Facility 1 - Trading'!D229</f>
        <v>0</v>
      </c>
      <c r="C8" s="230">
        <f>'12.Facility 1 - Trading'!E229</f>
        <v>0</v>
      </c>
      <c r="D8" s="230">
        <f>'12.Facility 1 - Trading'!F229</f>
        <v>0</v>
      </c>
      <c r="E8" s="230">
        <f>'12.Facility 1 - Trading'!G229</f>
        <v>0</v>
      </c>
      <c r="F8" s="230">
        <f>'12.Facility 1 - Trading'!H229</f>
        <v>0</v>
      </c>
      <c r="G8" s="230">
        <f>'12.Facility 1 - Trading'!I229</f>
        <v>0</v>
      </c>
      <c r="H8" s="230">
        <f>'12.Facility 1 - Trading'!J229</f>
        <v>0</v>
      </c>
    </row>
    <row r="9" spans="1:8" hidden="1">
      <c r="A9" s="223" t="s">
        <v>735</v>
      </c>
      <c r="B9" s="230">
        <f>'13.Facility 2 Grain Processing'!D148</f>
        <v>0</v>
      </c>
      <c r="C9" s="230">
        <f>'13.Facility 2 Grain Processing'!E148</f>
        <v>0</v>
      </c>
      <c r="D9" s="230">
        <f>'13.Facility 2 Grain Processing'!F148</f>
        <v>0</v>
      </c>
      <c r="E9" s="230">
        <f>'13.Facility 2 Grain Processing'!G148</f>
        <v>0</v>
      </c>
      <c r="F9" s="230">
        <f>'13.Facility 2 Grain Processing'!H148</f>
        <v>0</v>
      </c>
      <c r="G9" s="230">
        <f>'13.Facility 2 Grain Processing'!I148</f>
        <v>0</v>
      </c>
      <c r="H9" s="230">
        <f>'13.Facility 2 Grain Processing'!J148</f>
        <v>0</v>
      </c>
    </row>
    <row r="10" spans="1:8" hidden="1">
      <c r="A10" s="223" t="s">
        <v>616</v>
      </c>
      <c r="B10" s="230">
        <f>'14. Facility 3 Warehouse'!D23</f>
        <v>0</v>
      </c>
      <c r="C10" s="230">
        <f>'14. Facility 3 Warehouse'!E23</f>
        <v>0</v>
      </c>
      <c r="D10" s="230">
        <f>'14. Facility 3 Warehouse'!F23</f>
        <v>0</v>
      </c>
      <c r="E10" s="230">
        <f>'14. Facility 3 Warehouse'!G23</f>
        <v>0</v>
      </c>
      <c r="F10" s="230">
        <f>'14. Facility 3 Warehouse'!H23</f>
        <v>0</v>
      </c>
      <c r="G10" s="230">
        <f>'14. Facility 3 Warehouse'!I23</f>
        <v>0</v>
      </c>
      <c r="H10" s="230">
        <f>'14. Facility 3 Warehouse'!J23</f>
        <v>0</v>
      </c>
    </row>
    <row r="11" spans="1:8" hidden="1">
      <c r="A11" s="223" t="s">
        <v>736</v>
      </c>
      <c r="B11" s="230">
        <f>'15. Facility 4 Custom Hiring'!E39</f>
        <v>0</v>
      </c>
      <c r="C11" s="230">
        <f>'15. Facility 4 Custom Hiring'!F39</f>
        <v>0</v>
      </c>
      <c r="D11" s="230">
        <f>'15. Facility 4 Custom Hiring'!G39</f>
        <v>0</v>
      </c>
      <c r="E11" s="230">
        <f>'15. Facility 4 Custom Hiring'!H39</f>
        <v>0</v>
      </c>
      <c r="F11" s="230">
        <f>'15. Facility 4 Custom Hiring'!I39</f>
        <v>0</v>
      </c>
      <c r="G11" s="230">
        <f>'15. Facility 4 Custom Hiring'!J39</f>
        <v>0</v>
      </c>
      <c r="H11" s="230">
        <f>'15. Facility 4 Custom Hiring'!K39</f>
        <v>0</v>
      </c>
    </row>
    <row r="12" spans="1:8" hidden="1">
      <c r="A12" s="223" t="s">
        <v>737</v>
      </c>
      <c r="B12" s="230">
        <f>'16.Facility 5 Agri Input'!D191</f>
        <v>0</v>
      </c>
      <c r="C12" s="230">
        <f>'16.Facility 5 Agri Input'!E191</f>
        <v>0</v>
      </c>
      <c r="D12" s="230">
        <f>'16.Facility 5 Agri Input'!F191</f>
        <v>0</v>
      </c>
      <c r="E12" s="230">
        <f>'16.Facility 5 Agri Input'!G191</f>
        <v>0</v>
      </c>
      <c r="F12" s="230">
        <f>'16.Facility 5 Agri Input'!H191</f>
        <v>0</v>
      </c>
      <c r="G12" s="230">
        <f>'16.Facility 5 Agri Input'!I191</f>
        <v>0</v>
      </c>
      <c r="H12" s="230">
        <f>'16.Facility 5 Agri Input'!J191</f>
        <v>0</v>
      </c>
    </row>
    <row r="13" spans="1:8">
      <c r="A13" s="223" t="s">
        <v>754</v>
      </c>
      <c r="B13" s="230">
        <f>'17.Facility 6 Horti Processing '!D159</f>
        <v>57809754.381456003</v>
      </c>
      <c r="C13" s="230">
        <f>'17.Facility 6 Horti Processing '!E159</f>
        <v>66309176.498657413</v>
      </c>
      <c r="D13" s="230">
        <f>'17.Facility 6 Horti Processing '!F159</f>
        <v>74984082.335239798</v>
      </c>
      <c r="E13" s="230">
        <f>'17.Facility 6 Horti Processing '!G159</f>
        <v>84360705.81423375</v>
      </c>
      <c r="F13" s="230">
        <f>'17.Facility 6 Horti Processing '!H159</f>
        <v>94487531.43528904</v>
      </c>
      <c r="G13" s="230">
        <f>'17.Facility 6 Horti Processing '!I159</f>
        <v>105416137.85391426</v>
      </c>
      <c r="H13" s="230">
        <f>'17.Facility 6 Horti Processing '!J159</f>
        <v>117201386.08581376</v>
      </c>
    </row>
    <row r="14" spans="1:8">
      <c r="A14" s="223"/>
      <c r="B14" s="230"/>
      <c r="C14" s="230"/>
      <c r="D14" s="230"/>
      <c r="E14" s="230"/>
      <c r="F14" s="230"/>
      <c r="G14" s="230"/>
      <c r="H14" s="230"/>
    </row>
    <row r="15" spans="1:8">
      <c r="A15" s="234" t="s">
        <v>344</v>
      </c>
      <c r="B15" s="236">
        <f>SUM(B8:B14)</f>
        <v>57809754.381456003</v>
      </c>
      <c r="C15" s="236">
        <f t="shared" ref="C15:H15" si="0">SUM(C8:C14)</f>
        <v>66309176.498657413</v>
      </c>
      <c r="D15" s="236">
        <f t="shared" si="0"/>
        <v>74984082.335239798</v>
      </c>
      <c r="E15" s="236">
        <f t="shared" si="0"/>
        <v>84360705.81423375</v>
      </c>
      <c r="F15" s="236">
        <f t="shared" si="0"/>
        <v>94487531.43528904</v>
      </c>
      <c r="G15" s="236">
        <f t="shared" si="0"/>
        <v>105416137.85391426</v>
      </c>
      <c r="H15" s="236">
        <f t="shared" si="0"/>
        <v>117201386.08581376</v>
      </c>
    </row>
    <row r="16" spans="1:8">
      <c r="A16" s="223"/>
      <c r="B16" s="230"/>
      <c r="C16" s="230"/>
      <c r="D16" s="230"/>
      <c r="E16" s="230"/>
      <c r="F16" s="230"/>
      <c r="G16" s="230"/>
      <c r="H16" s="230"/>
    </row>
    <row r="17" spans="1:8">
      <c r="A17" s="234" t="s">
        <v>345</v>
      </c>
      <c r="B17" s="230"/>
      <c r="C17" s="230"/>
      <c r="D17" s="230"/>
      <c r="E17" s="230"/>
      <c r="F17" s="230"/>
      <c r="G17" s="230"/>
      <c r="H17" s="230"/>
    </row>
    <row r="18" spans="1:8" hidden="1">
      <c r="A18" s="223" t="str">
        <f t="shared" ref="A18:A23" si="1">A8</f>
        <v xml:space="preserve">Facility 1 - Trading </v>
      </c>
      <c r="B18" s="230">
        <f>'12.Facility 1 - Trading'!D292</f>
        <v>0</v>
      </c>
      <c r="C18" s="230">
        <f>'12.Facility 1 - Trading'!E292</f>
        <v>0</v>
      </c>
      <c r="D18" s="230">
        <f>'12.Facility 1 - Trading'!F292</f>
        <v>0</v>
      </c>
      <c r="E18" s="230">
        <f>'12.Facility 1 - Trading'!G292</f>
        <v>0</v>
      </c>
      <c r="F18" s="230">
        <f>'12.Facility 1 - Trading'!H292</f>
        <v>0</v>
      </c>
      <c r="G18" s="230">
        <f>'12.Facility 1 - Trading'!I292</f>
        <v>0</v>
      </c>
      <c r="H18" s="230">
        <f>'12.Facility 1 - Trading'!J292</f>
        <v>0</v>
      </c>
    </row>
    <row r="19" spans="1:8" hidden="1">
      <c r="A19" s="223" t="str">
        <f t="shared" si="1"/>
        <v>Facility 2 - Processing Unit- Rice Mill</v>
      </c>
      <c r="B19" s="230">
        <f>'13.Facility 2 Grain Processing'!D169</f>
        <v>0</v>
      </c>
      <c r="C19" s="230">
        <f>'13.Facility 2 Grain Processing'!E169</f>
        <v>0</v>
      </c>
      <c r="D19" s="230">
        <f>'13.Facility 2 Grain Processing'!F169</f>
        <v>0</v>
      </c>
      <c r="E19" s="230">
        <f>'13.Facility 2 Grain Processing'!G169</f>
        <v>0</v>
      </c>
      <c r="F19" s="230">
        <f>'13.Facility 2 Grain Processing'!H169</f>
        <v>0</v>
      </c>
      <c r="G19" s="230">
        <f>'13.Facility 2 Grain Processing'!I169</f>
        <v>0</v>
      </c>
      <c r="H19" s="230">
        <f>'13.Facility 2 Grain Processing'!J169</f>
        <v>0</v>
      </c>
    </row>
    <row r="20" spans="1:8" hidden="1">
      <c r="A20" s="223" t="str">
        <f t="shared" si="1"/>
        <v>Facility 3 - Warehouse</v>
      </c>
      <c r="B20" s="230">
        <f>'14. Facility 3 Warehouse'!D34</f>
        <v>0</v>
      </c>
      <c r="C20" s="230">
        <f>'14. Facility 3 Warehouse'!E34</f>
        <v>0</v>
      </c>
      <c r="D20" s="230">
        <f>'14. Facility 3 Warehouse'!F34</f>
        <v>0</v>
      </c>
      <c r="E20" s="230">
        <f>'14. Facility 3 Warehouse'!G34</f>
        <v>0</v>
      </c>
      <c r="F20" s="230">
        <f>'14. Facility 3 Warehouse'!H34</f>
        <v>0</v>
      </c>
      <c r="G20" s="230">
        <f>'14. Facility 3 Warehouse'!I34</f>
        <v>0</v>
      </c>
      <c r="H20" s="230">
        <f>'14. Facility 3 Warehouse'!J34</f>
        <v>0</v>
      </c>
    </row>
    <row r="21" spans="1:8" hidden="1">
      <c r="A21" s="223" t="str">
        <f t="shared" si="1"/>
        <v xml:space="preserve">Facility 4 - Custom Hiring </v>
      </c>
      <c r="B21" s="230">
        <f>'15. Facility 4 Custom Hiring'!E49</f>
        <v>0</v>
      </c>
      <c r="C21" s="230">
        <f>'15. Facility 4 Custom Hiring'!F49</f>
        <v>0</v>
      </c>
      <c r="D21" s="230">
        <f>'15. Facility 4 Custom Hiring'!G49</f>
        <v>0</v>
      </c>
      <c r="E21" s="230">
        <f>'15. Facility 4 Custom Hiring'!H49</f>
        <v>0</v>
      </c>
      <c r="F21" s="230">
        <f>'15. Facility 4 Custom Hiring'!I49</f>
        <v>0</v>
      </c>
      <c r="G21" s="230">
        <f>'15. Facility 4 Custom Hiring'!J49</f>
        <v>0</v>
      </c>
      <c r="H21" s="230">
        <f>'15. Facility 4 Custom Hiring'!K49</f>
        <v>0</v>
      </c>
    </row>
    <row r="22" spans="1:8" hidden="1">
      <c r="A22" s="223" t="str">
        <f t="shared" si="1"/>
        <v>Facility 5 - Agri Input Centre</v>
      </c>
      <c r="B22" s="230">
        <f>'16.Facility 5 Agri Input'!D262</f>
        <v>0</v>
      </c>
      <c r="C22" s="230">
        <f>'16.Facility 5 Agri Input'!E262</f>
        <v>0</v>
      </c>
      <c r="D22" s="230">
        <f>'16.Facility 5 Agri Input'!F262</f>
        <v>0</v>
      </c>
      <c r="E22" s="230">
        <f>'16.Facility 5 Agri Input'!G262</f>
        <v>0</v>
      </c>
      <c r="F22" s="230">
        <f>'16.Facility 5 Agri Input'!H262</f>
        <v>0</v>
      </c>
      <c r="G22" s="230">
        <f>'16.Facility 5 Agri Input'!I262</f>
        <v>0</v>
      </c>
      <c r="H22" s="230">
        <f>'16.Facility 5 Agri Input'!J262</f>
        <v>0</v>
      </c>
    </row>
    <row r="23" spans="1:8">
      <c r="A23" s="223" t="str">
        <f t="shared" si="1"/>
        <v>Facility 1 - Processing Unit - Horti Commodity</v>
      </c>
      <c r="B23" s="230">
        <f>'17.Facility 6 Horti Processing '!D178</f>
        <v>52371526.612204805</v>
      </c>
      <c r="C23" s="230">
        <f>'17.Facility 6 Horti Processing '!E178</f>
        <v>60095330.226938181</v>
      </c>
      <c r="D23" s="230">
        <f>'17.Facility 6 Horti Processing '!F178</f>
        <v>67957468.632517487</v>
      </c>
      <c r="E23" s="230">
        <f>'17.Facility 6 Horti Processing '!G178</f>
        <v>76455582.553087354</v>
      </c>
      <c r="F23" s="230">
        <f>'17.Facility 6 Horti Processing '!H178</f>
        <v>85633614.194132969</v>
      </c>
      <c r="G23" s="230">
        <f>'17.Facility 6 Horti Processing '!I178</f>
        <v>95538310.042900383</v>
      </c>
      <c r="H23" s="230">
        <f>'17.Facility 6 Horti Processing '!J178</f>
        <v>106219391.44105925</v>
      </c>
    </row>
    <row r="24" spans="1:8">
      <c r="A24" s="223"/>
      <c r="B24" s="230"/>
      <c r="C24" s="230"/>
      <c r="D24" s="230"/>
      <c r="E24" s="230"/>
      <c r="F24" s="230"/>
      <c r="G24" s="230"/>
      <c r="H24" s="230"/>
    </row>
    <row r="25" spans="1:8">
      <c r="A25" s="234" t="s">
        <v>346</v>
      </c>
      <c r="B25" s="236">
        <f>SUM(B18:B24)</f>
        <v>52371526.612204805</v>
      </c>
      <c r="C25" s="236">
        <f t="shared" ref="C25:H25" si="2">SUM(C18:C24)</f>
        <v>60095330.226938181</v>
      </c>
      <c r="D25" s="236">
        <f t="shared" si="2"/>
        <v>67957468.632517487</v>
      </c>
      <c r="E25" s="236">
        <f t="shared" si="2"/>
        <v>76455582.553087354</v>
      </c>
      <c r="F25" s="236">
        <f t="shared" si="2"/>
        <v>85633614.194132969</v>
      </c>
      <c r="G25" s="236">
        <f t="shared" si="2"/>
        <v>95538310.042900383</v>
      </c>
      <c r="H25" s="236">
        <f t="shared" si="2"/>
        <v>106219391.44105925</v>
      </c>
    </row>
    <row r="26" spans="1:8">
      <c r="A26" s="223"/>
      <c r="B26" s="230"/>
      <c r="C26" s="230"/>
      <c r="D26" s="230"/>
      <c r="E26" s="230"/>
      <c r="F26" s="230"/>
      <c r="G26" s="230"/>
      <c r="H26" s="230"/>
    </row>
    <row r="27" spans="1:8">
      <c r="A27" s="234" t="s">
        <v>347</v>
      </c>
      <c r="B27" s="230"/>
      <c r="C27" s="230"/>
      <c r="D27" s="230"/>
      <c r="E27" s="230"/>
      <c r="F27" s="230"/>
      <c r="G27" s="230"/>
      <c r="H27" s="230"/>
    </row>
    <row r="28" spans="1:8" hidden="1">
      <c r="A28" s="223" t="str">
        <f t="shared" ref="A28:A33" si="3">A18</f>
        <v xml:space="preserve">Facility 1 - Trading </v>
      </c>
      <c r="B28" s="230">
        <f>'12.Facility 1 - Trading'!D301</f>
        <v>0</v>
      </c>
      <c r="C28" s="230">
        <f>'12.Facility 1 - Trading'!E301</f>
        <v>0</v>
      </c>
      <c r="D28" s="230">
        <f>'12.Facility 1 - Trading'!F301</f>
        <v>0</v>
      </c>
      <c r="E28" s="230">
        <f>'12.Facility 1 - Trading'!G301</f>
        <v>0</v>
      </c>
      <c r="F28" s="230">
        <f>'12.Facility 1 - Trading'!H301</f>
        <v>0</v>
      </c>
      <c r="G28" s="230">
        <f>'12.Facility 1 - Trading'!I301</f>
        <v>0</v>
      </c>
      <c r="H28" s="230">
        <f>'12.Facility 1 - Trading'!J301</f>
        <v>0</v>
      </c>
    </row>
    <row r="29" spans="1:8" hidden="1">
      <c r="A29" s="223" t="str">
        <f t="shared" si="3"/>
        <v>Facility 2 - Processing Unit- Rice Mill</v>
      </c>
      <c r="B29" s="230">
        <f>'13.Facility 2 Grain Processing'!D177</f>
        <v>0</v>
      </c>
      <c r="C29" s="230">
        <f>'13.Facility 2 Grain Processing'!E177</f>
        <v>0</v>
      </c>
      <c r="D29" s="230">
        <f>'13.Facility 2 Grain Processing'!F177</f>
        <v>0</v>
      </c>
      <c r="E29" s="230">
        <f>'13.Facility 2 Grain Processing'!G177</f>
        <v>0</v>
      </c>
      <c r="F29" s="230">
        <f>'13.Facility 2 Grain Processing'!H177</f>
        <v>0</v>
      </c>
      <c r="G29" s="230">
        <f>'13.Facility 2 Grain Processing'!I177</f>
        <v>0</v>
      </c>
      <c r="H29" s="230">
        <f>'13.Facility 2 Grain Processing'!J177</f>
        <v>0</v>
      </c>
    </row>
    <row r="30" spans="1:8" hidden="1">
      <c r="A30" s="223" t="str">
        <f t="shared" si="3"/>
        <v>Facility 3 - Warehouse</v>
      </c>
      <c r="B30" s="230">
        <f>'14. Facility 3 Warehouse'!D43</f>
        <v>0</v>
      </c>
      <c r="C30" s="230">
        <f>'14. Facility 3 Warehouse'!E43</f>
        <v>0</v>
      </c>
      <c r="D30" s="230">
        <f>'14. Facility 3 Warehouse'!F43</f>
        <v>0</v>
      </c>
      <c r="E30" s="230">
        <f>'14. Facility 3 Warehouse'!G43</f>
        <v>0</v>
      </c>
      <c r="F30" s="230">
        <f>'14. Facility 3 Warehouse'!H43</f>
        <v>0</v>
      </c>
      <c r="G30" s="230">
        <f>'14. Facility 3 Warehouse'!I43</f>
        <v>0</v>
      </c>
      <c r="H30" s="230">
        <f>'14. Facility 3 Warehouse'!J43</f>
        <v>0</v>
      </c>
    </row>
    <row r="31" spans="1:8" hidden="1">
      <c r="A31" s="223" t="str">
        <f t="shared" si="3"/>
        <v xml:space="preserve">Facility 4 - Custom Hiring </v>
      </c>
      <c r="B31" s="230">
        <f>'15. Facility 4 Custom Hiring'!E56</f>
        <v>0</v>
      </c>
      <c r="C31" s="230">
        <f>'15. Facility 4 Custom Hiring'!F56</f>
        <v>0</v>
      </c>
      <c r="D31" s="230">
        <f>'15. Facility 4 Custom Hiring'!G56</f>
        <v>0</v>
      </c>
      <c r="E31" s="230">
        <f>'15. Facility 4 Custom Hiring'!H56</f>
        <v>0</v>
      </c>
      <c r="F31" s="230">
        <f>'15. Facility 4 Custom Hiring'!I56</f>
        <v>0</v>
      </c>
      <c r="G31" s="230">
        <f>'15. Facility 4 Custom Hiring'!J56</f>
        <v>0</v>
      </c>
      <c r="H31" s="230">
        <f>'15. Facility 4 Custom Hiring'!K56</f>
        <v>0</v>
      </c>
    </row>
    <row r="32" spans="1:8" hidden="1">
      <c r="A32" s="223" t="str">
        <f t="shared" si="3"/>
        <v>Facility 5 - Agri Input Centre</v>
      </c>
      <c r="B32" s="230">
        <f>'16.Facility 5 Agri Input'!D273</f>
        <v>0</v>
      </c>
      <c r="C32" s="230">
        <f>'16.Facility 5 Agri Input'!E273</f>
        <v>0</v>
      </c>
      <c r="D32" s="230">
        <f>'16.Facility 5 Agri Input'!F273</f>
        <v>0</v>
      </c>
      <c r="E32" s="230">
        <f>'16.Facility 5 Agri Input'!G273</f>
        <v>0</v>
      </c>
      <c r="F32" s="230">
        <f>'16.Facility 5 Agri Input'!H273</f>
        <v>0</v>
      </c>
      <c r="G32" s="230">
        <f>'16.Facility 5 Agri Input'!I273</f>
        <v>0</v>
      </c>
      <c r="H32" s="230">
        <f>'16.Facility 5 Agri Input'!J273</f>
        <v>0</v>
      </c>
    </row>
    <row r="33" spans="1:10">
      <c r="A33" s="223" t="str">
        <f t="shared" si="3"/>
        <v>Facility 1 - Processing Unit - Horti Commodity</v>
      </c>
      <c r="B33" s="230">
        <f>'17.Facility 6 Horti Processing '!D186</f>
        <v>540000</v>
      </c>
      <c r="C33" s="230">
        <f>'17.Facility 6 Horti Processing '!E186</f>
        <v>567000</v>
      </c>
      <c r="D33" s="230">
        <f>'17.Facility 6 Horti Processing '!F186</f>
        <v>595350</v>
      </c>
      <c r="E33" s="230">
        <f>'17.Facility 6 Horti Processing '!G186</f>
        <v>625117.50000000012</v>
      </c>
      <c r="F33" s="230">
        <f>'17.Facility 6 Horti Processing '!H186</f>
        <v>656373.37500000012</v>
      </c>
      <c r="G33" s="230">
        <f>'17.Facility 6 Horti Processing '!I186</f>
        <v>689192.04375000019</v>
      </c>
      <c r="H33" s="230">
        <f>'17.Facility 6 Horti Processing '!J186</f>
        <v>723651.64593750029</v>
      </c>
    </row>
    <row r="34" spans="1:10" hidden="1">
      <c r="A34" s="223"/>
      <c r="B34" s="230"/>
      <c r="C34" s="230"/>
      <c r="D34" s="230"/>
      <c r="E34" s="230"/>
      <c r="F34" s="230"/>
      <c r="G34" s="230"/>
      <c r="H34" s="230"/>
    </row>
    <row r="35" spans="1:10">
      <c r="A35" s="223" t="s">
        <v>348</v>
      </c>
      <c r="B35" s="230">
        <f>'3.Other Exp &amp; Taxes'!E23</f>
        <v>1298384.6905</v>
      </c>
      <c r="C35" s="230">
        <f>'3.Other Exp &amp; Taxes'!F23</f>
        <v>1343404.3810000001</v>
      </c>
      <c r="D35" s="230">
        <f>'3.Other Exp &amp; Taxes'!G23</f>
        <v>1391219.0715000001</v>
      </c>
      <c r="E35" s="230">
        <f>'3.Other Exp &amp; Taxes'!H23</f>
        <v>1441968.5120000003</v>
      </c>
      <c r="F35" s="230">
        <f>'3.Other Exp &amp; Taxes'!I23</f>
        <v>1495799.4400000004</v>
      </c>
      <c r="G35" s="230">
        <f>'3.Other Exp &amp; Taxes'!J23</f>
        <v>1552865.9298750001</v>
      </c>
      <c r="H35" s="230">
        <f>'3.Other Exp &amp; Taxes'!K23</f>
        <v>1613329.7597187501</v>
      </c>
    </row>
    <row r="36" spans="1:10">
      <c r="A36" s="234" t="s">
        <v>349</v>
      </c>
      <c r="B36" s="236">
        <f t="shared" ref="B36:H36" si="4">SUM(B28:B35)</f>
        <v>1838384.6905</v>
      </c>
      <c r="C36" s="236">
        <f t="shared" si="4"/>
        <v>1910404.3810000001</v>
      </c>
      <c r="D36" s="236">
        <f t="shared" si="4"/>
        <v>1986569.0715000001</v>
      </c>
      <c r="E36" s="236">
        <f t="shared" si="4"/>
        <v>2067086.0120000006</v>
      </c>
      <c r="F36" s="236">
        <f t="shared" si="4"/>
        <v>2152172.8150000004</v>
      </c>
      <c r="G36" s="236">
        <f t="shared" si="4"/>
        <v>2242057.9736250006</v>
      </c>
      <c r="H36" s="236">
        <f t="shared" si="4"/>
        <v>2336981.4056562502</v>
      </c>
    </row>
    <row r="37" spans="1:10">
      <c r="A37" s="223"/>
      <c r="B37" s="230"/>
      <c r="C37" s="230"/>
      <c r="D37" s="230"/>
      <c r="E37" s="230"/>
      <c r="F37" s="230"/>
      <c r="G37" s="230"/>
      <c r="H37" s="230"/>
    </row>
    <row r="38" spans="1:10">
      <c r="A38" s="234" t="s">
        <v>350</v>
      </c>
      <c r="B38" s="236">
        <f t="shared" ref="B38:H38" si="5">B25+B36</f>
        <v>54209911.302704804</v>
      </c>
      <c r="C38" s="236">
        <f t="shared" si="5"/>
        <v>62005734.607938178</v>
      </c>
      <c r="D38" s="236">
        <f t="shared" si="5"/>
        <v>69944037.70401749</v>
      </c>
      <c r="E38" s="236">
        <f t="shared" si="5"/>
        <v>78522668.565087348</v>
      </c>
      <c r="F38" s="236">
        <f t="shared" si="5"/>
        <v>87785787.009132966</v>
      </c>
      <c r="G38" s="236">
        <f t="shared" si="5"/>
        <v>97780368.016525388</v>
      </c>
      <c r="H38" s="236">
        <f t="shared" si="5"/>
        <v>108556372.84671549</v>
      </c>
    </row>
    <row r="39" spans="1:10">
      <c r="A39" s="223"/>
      <c r="B39" s="230"/>
      <c r="C39" s="230"/>
      <c r="D39" s="230"/>
      <c r="E39" s="230"/>
      <c r="F39" s="230"/>
      <c r="G39" s="230"/>
      <c r="H39" s="230"/>
    </row>
    <row r="40" spans="1:10">
      <c r="A40" s="234" t="s">
        <v>351</v>
      </c>
      <c r="B40" s="236">
        <f>B15-B38</f>
        <v>3599843.0787511989</v>
      </c>
      <c r="C40" s="236">
        <f t="shared" ref="C40:H40" si="6">C15-C38</f>
        <v>4303441.8907192349</v>
      </c>
      <c r="D40" s="236">
        <f t="shared" si="6"/>
        <v>5040044.6312223077</v>
      </c>
      <c r="E40" s="236">
        <f t="shared" si="6"/>
        <v>5838037.2491464019</v>
      </c>
      <c r="F40" s="236">
        <f t="shared" si="6"/>
        <v>6701744.4261560738</v>
      </c>
      <c r="G40" s="236">
        <f t="shared" si="6"/>
        <v>7635769.8373888731</v>
      </c>
      <c r="H40" s="236">
        <f t="shared" si="6"/>
        <v>8645013.2390982658</v>
      </c>
      <c r="J40" s="240">
        <f>B49+B42+B43</f>
        <v>2601532.3539205911</v>
      </c>
    </row>
    <row r="41" spans="1:10">
      <c r="A41" s="223"/>
      <c r="B41" s="230"/>
      <c r="C41" s="230"/>
      <c r="D41" s="230"/>
      <c r="E41" s="230"/>
      <c r="F41" s="230"/>
      <c r="G41" s="230"/>
      <c r="H41" s="230"/>
      <c r="J41" s="220">
        <f>'5.Closing Stock &amp; W Capital'!E56</f>
        <v>182827.06595696235</v>
      </c>
    </row>
    <row r="42" spans="1:10">
      <c r="A42" s="232" t="s">
        <v>173</v>
      </c>
      <c r="B42" s="230">
        <f>'3.Other Exp &amp; Taxes'!C66</f>
        <v>1088030.95</v>
      </c>
      <c r="C42" s="230">
        <f>'3.Other Exp &amp; Taxes'!D66</f>
        <v>1088030.95</v>
      </c>
      <c r="D42" s="230">
        <f>'3.Other Exp &amp; Taxes'!E66</f>
        <v>1088030.95</v>
      </c>
      <c r="E42" s="230">
        <f>'3.Other Exp &amp; Taxes'!F66</f>
        <v>1088030.95</v>
      </c>
      <c r="F42" s="230">
        <f>'3.Other Exp &amp; Taxes'!G66</f>
        <v>1088030.95</v>
      </c>
      <c r="G42" s="230">
        <f>'3.Other Exp &amp; Taxes'!H66</f>
        <v>1088030.95</v>
      </c>
      <c r="H42" s="230">
        <f>'3.Other Exp &amp; Taxes'!I66</f>
        <v>1088030.95</v>
      </c>
      <c r="J42" s="240">
        <f>J40+J41</f>
        <v>2784359.4198775534</v>
      </c>
    </row>
    <row r="43" spans="1:10">
      <c r="A43" s="232" t="s">
        <v>352</v>
      </c>
      <c r="B43" s="230">
        <f>'3.Other Exp &amp; Taxes'!C86</f>
        <v>184600</v>
      </c>
      <c r="C43" s="230">
        <f>'3.Other Exp &amp; Taxes'!D86</f>
        <v>184600</v>
      </c>
      <c r="D43" s="230">
        <f>'3.Other Exp &amp; Taxes'!E86</f>
        <v>184600</v>
      </c>
      <c r="E43" s="230">
        <f>'3.Other Exp &amp; Taxes'!F86</f>
        <v>184600</v>
      </c>
      <c r="F43" s="230">
        <f>'3.Other Exp &amp; Taxes'!G86</f>
        <v>184600</v>
      </c>
      <c r="G43" s="230">
        <f>'3.Other Exp &amp; Taxes'!H86</f>
        <v>0</v>
      </c>
      <c r="H43" s="230">
        <f>'3.Other Exp &amp; Taxes'!I86</f>
        <v>0</v>
      </c>
    </row>
    <row r="44" spans="1:10">
      <c r="A44" s="223"/>
      <c r="B44" s="230"/>
      <c r="C44" s="230"/>
      <c r="D44" s="230"/>
      <c r="E44" s="230"/>
      <c r="F44" s="230"/>
      <c r="G44" s="230"/>
      <c r="H44" s="230"/>
    </row>
    <row r="45" spans="1:10">
      <c r="A45" s="234" t="s">
        <v>353</v>
      </c>
      <c r="B45" s="236">
        <f>B40-B42-B43</f>
        <v>2327212.1287511988</v>
      </c>
      <c r="C45" s="236">
        <f t="shared" ref="C45:H45" si="7">C40-C42-C43</f>
        <v>3030810.9407192348</v>
      </c>
      <c r="D45" s="236">
        <f t="shared" si="7"/>
        <v>3767413.6812223075</v>
      </c>
      <c r="E45" s="236">
        <f t="shared" si="7"/>
        <v>4565406.2991464017</v>
      </c>
      <c r="F45" s="236">
        <f t="shared" si="7"/>
        <v>5429113.4761560736</v>
      </c>
      <c r="G45" s="236">
        <f t="shared" si="7"/>
        <v>6547738.8873888729</v>
      </c>
      <c r="H45" s="236">
        <f t="shared" si="7"/>
        <v>7556982.2890982656</v>
      </c>
    </row>
    <row r="46" spans="1:10">
      <c r="A46" s="223"/>
      <c r="B46" s="230"/>
      <c r="C46" s="230"/>
      <c r="D46" s="230"/>
      <c r="E46" s="230"/>
      <c r="F46" s="230"/>
      <c r="G46" s="230"/>
      <c r="H46" s="230"/>
    </row>
    <row r="47" spans="1:10">
      <c r="A47" s="223" t="s">
        <v>354</v>
      </c>
      <c r="B47" s="230">
        <f>'8.Cash Flow '!C27+'8.Cash Flow '!C29</f>
        <v>998310.72483060753</v>
      </c>
      <c r="C47" s="230">
        <f>'8.Cash Flow '!D27+'8.Cash Flow '!D29</f>
        <v>925517.50256985321</v>
      </c>
      <c r="D47" s="230">
        <f>'8.Cash Flow '!E27+'8.Cash Flow '!E29</f>
        <v>802965.13598827668</v>
      </c>
      <c r="E47" s="230">
        <f>'8.Cash Flow '!F27+'8.Cash Flow '!F29</f>
        <v>668747.58559383894</v>
      </c>
      <c r="F47" s="230">
        <f>'8.Cash Flow '!G27+'8.Cash Flow '!G29</f>
        <v>521744.44574301044</v>
      </c>
      <c r="G47" s="230">
        <f>'8.Cash Flow '!H27+'8.Cash Flow '!H29</f>
        <v>456803.22999475256</v>
      </c>
      <c r="H47" s="230">
        <f>'8.Cash Flow '!I27+'8.Cash Flow '!I29</f>
        <v>502508.43099248159</v>
      </c>
    </row>
    <row r="48" spans="1:10">
      <c r="A48" s="223"/>
      <c r="B48" s="230"/>
      <c r="C48" s="230"/>
      <c r="D48" s="230"/>
      <c r="E48" s="230"/>
      <c r="F48" s="230"/>
      <c r="G48" s="230"/>
      <c r="H48" s="230"/>
    </row>
    <row r="49" spans="1:9">
      <c r="A49" s="223" t="s">
        <v>355</v>
      </c>
      <c r="B49" s="230">
        <f>B45-B47</f>
        <v>1328901.4039205913</v>
      </c>
      <c r="C49" s="230">
        <f t="shared" ref="C49:H49" si="8">C45-C47</f>
        <v>2105293.4381493814</v>
      </c>
      <c r="D49" s="230">
        <f t="shared" si="8"/>
        <v>2964448.545234031</v>
      </c>
      <c r="E49" s="230">
        <f t="shared" si="8"/>
        <v>3896658.7135525625</v>
      </c>
      <c r="F49" s="230">
        <f t="shared" si="8"/>
        <v>4907369.0304130632</v>
      </c>
      <c r="G49" s="230">
        <f t="shared" si="8"/>
        <v>6090935.6573941205</v>
      </c>
      <c r="H49" s="230">
        <f t="shared" si="8"/>
        <v>7054473.8581057843</v>
      </c>
    </row>
    <row r="50" spans="1:9">
      <c r="A50" s="223" t="s">
        <v>356</v>
      </c>
      <c r="B50" s="230">
        <f>'3.Other Exp &amp; Taxes'!B99</f>
        <v>0</v>
      </c>
      <c r="C50" s="230">
        <f>'3.Other Exp &amp; Taxes'!C99</f>
        <v>244995.24091883923</v>
      </c>
      <c r="D50" s="230">
        <f>'3.Other Exp &amp; Taxes'!D99</f>
        <v>557869.25876084808</v>
      </c>
      <c r="E50" s="230">
        <f>'3.Other Exp &amp; Taxes'!E99</f>
        <v>873218.20652366639</v>
      </c>
      <c r="F50" s="230">
        <f>'3.Other Exp &amp; Taxes'!F99</f>
        <v>1196415.2480573966</v>
      </c>
      <c r="G50" s="230">
        <f>'3.Other Exp &amp; Taxes'!G99</f>
        <v>1554740.8570249714</v>
      </c>
      <c r="H50" s="230">
        <f>'3.Other Exp &amp; Taxes'!H99</f>
        <v>1848013.5348771291</v>
      </c>
    </row>
    <row r="51" spans="1:9">
      <c r="A51" s="234" t="s">
        <v>357</v>
      </c>
      <c r="B51" s="230">
        <f>B49-B50</f>
        <v>1328901.4039205913</v>
      </c>
      <c r="C51" s="230">
        <f>C49-C50</f>
        <v>1860298.1972305421</v>
      </c>
      <c r="D51" s="230">
        <f>D49-D50</f>
        <v>2406579.286473183</v>
      </c>
      <c r="E51" s="230">
        <f>E49-E50</f>
        <v>3023440.5070288964</v>
      </c>
      <c r="F51" s="230">
        <f>F49-F50</f>
        <v>3710953.7823556666</v>
      </c>
      <c r="G51" s="230">
        <f t="shared" ref="G51:H51" si="9">G49-G50</f>
        <v>4536194.8003691491</v>
      </c>
      <c r="H51" s="230">
        <f t="shared" si="9"/>
        <v>5206460.3232286554</v>
      </c>
    </row>
    <row r="52" spans="1:9">
      <c r="B52" s="303"/>
      <c r="C52" s="303"/>
      <c r="D52" s="303"/>
      <c r="E52" s="303"/>
      <c r="F52" s="303"/>
      <c r="G52" s="303"/>
      <c r="H52" s="303"/>
    </row>
    <row r="53" spans="1:9">
      <c r="A53" s="220" t="s">
        <v>358</v>
      </c>
      <c r="B53" s="303">
        <f>B51</f>
        <v>1328901.4039205913</v>
      </c>
      <c r="C53" s="303">
        <f t="shared" ref="C53:H53" si="10">B53+C51</f>
        <v>3189199.6011511334</v>
      </c>
      <c r="D53" s="303">
        <f t="shared" si="10"/>
        <v>5595778.8876243159</v>
      </c>
      <c r="E53" s="303">
        <f t="shared" si="10"/>
        <v>8619219.3946532123</v>
      </c>
      <c r="F53" s="303">
        <f t="shared" si="10"/>
        <v>12330173.177008878</v>
      </c>
      <c r="G53" s="303">
        <f t="shared" si="10"/>
        <v>16866367.977378026</v>
      </c>
      <c r="H53" s="303">
        <f t="shared" si="10"/>
        <v>22072828.300606683</v>
      </c>
    </row>
    <row r="56" spans="1:9" ht="32.450000000000003" customHeight="1">
      <c r="A56" s="439" t="s">
        <v>359</v>
      </c>
      <c r="B56" s="439"/>
      <c r="C56" s="439"/>
      <c r="D56" s="439"/>
      <c r="E56" s="439"/>
      <c r="F56" s="439"/>
      <c r="G56" s="439"/>
      <c r="H56" s="439"/>
      <c r="I56" s="439"/>
    </row>
    <row r="58" spans="1:9">
      <c r="A58" s="344"/>
    </row>
  </sheetData>
  <mergeCells count="2">
    <mergeCell ref="A2:H2"/>
    <mergeCell ref="A56:I56"/>
  </mergeCells>
  <pageMargins left="0.7" right="0.7" top="0.75" bottom="0.75" header="0.3" footer="0.3"/>
  <pageSetup scale="52" orientation="portrait" r:id="rId1"/>
</worksheet>
</file>

<file path=xl/worksheets/sheet8.xml><?xml version="1.0" encoding="utf-8"?>
<worksheet xmlns="http://schemas.openxmlformats.org/spreadsheetml/2006/main" xmlns:r="http://schemas.openxmlformats.org/officeDocument/2006/relationships">
  <dimension ref="A1:R50"/>
  <sheetViews>
    <sheetView view="pageBreakPreview" zoomScale="80" workbookViewId="0">
      <selection activeCell="H46" sqref="H46"/>
    </sheetView>
  </sheetViews>
  <sheetFormatPr defaultColWidth="9" defaultRowHeight="15"/>
  <cols>
    <col min="1" max="1" width="37.28515625" style="141" customWidth="1"/>
    <col min="2" max="2" width="18.42578125" style="141" customWidth="1"/>
    <col min="3" max="3" width="12.42578125" style="141" customWidth="1"/>
    <col min="4" max="6" width="13.5703125" style="141" customWidth="1"/>
    <col min="7" max="8" width="12.42578125" style="141" customWidth="1"/>
    <col min="9" max="9" width="9.140625" style="141"/>
    <col min="10" max="10" width="32.85546875" style="141" customWidth="1"/>
    <col min="11" max="16" width="8.7109375" style="141"/>
    <col min="17" max="17" width="10.140625" style="141" customWidth="1"/>
    <col min="18" max="256" width="9.140625" style="141"/>
    <col min="257" max="257" width="37.28515625" style="141" customWidth="1"/>
    <col min="258" max="258" width="18.42578125" style="141" customWidth="1"/>
    <col min="259" max="262" width="12.42578125" style="141" customWidth="1"/>
    <col min="263" max="263" width="11.7109375" style="141" customWidth="1"/>
    <col min="264" max="512" width="9.140625" style="141"/>
    <col min="513" max="513" width="37.28515625" style="141" customWidth="1"/>
    <col min="514" max="514" width="18.42578125" style="141" customWidth="1"/>
    <col min="515" max="518" width="12.42578125" style="141" customWidth="1"/>
    <col min="519" max="519" width="11.7109375" style="141" customWidth="1"/>
    <col min="520" max="768" width="9.140625" style="141"/>
    <col min="769" max="769" width="37.28515625" style="141" customWidth="1"/>
    <col min="770" max="770" width="18.42578125" style="141" customWidth="1"/>
    <col min="771" max="774" width="12.42578125" style="141" customWidth="1"/>
    <col min="775" max="775" width="11.7109375" style="141" customWidth="1"/>
    <col min="776" max="1024" width="9.140625" style="141"/>
    <col min="1025" max="1025" width="37.28515625" style="141" customWidth="1"/>
    <col min="1026" max="1026" width="18.42578125" style="141" customWidth="1"/>
    <col min="1027" max="1030" width="12.42578125" style="141" customWidth="1"/>
    <col min="1031" max="1031" width="11.7109375" style="141" customWidth="1"/>
    <col min="1032" max="1280" width="9.140625" style="141"/>
    <col min="1281" max="1281" width="37.28515625" style="141" customWidth="1"/>
    <col min="1282" max="1282" width="18.42578125" style="141" customWidth="1"/>
    <col min="1283" max="1286" width="12.42578125" style="141" customWidth="1"/>
    <col min="1287" max="1287" width="11.7109375" style="141" customWidth="1"/>
    <col min="1288" max="1536" width="9.140625" style="141"/>
    <col min="1537" max="1537" width="37.28515625" style="141" customWidth="1"/>
    <col min="1538" max="1538" width="18.42578125" style="141" customWidth="1"/>
    <col min="1539" max="1542" width="12.42578125" style="141" customWidth="1"/>
    <col min="1543" max="1543" width="11.7109375" style="141" customWidth="1"/>
    <col min="1544" max="1792" width="9.140625" style="141"/>
    <col min="1793" max="1793" width="37.28515625" style="141" customWidth="1"/>
    <col min="1794" max="1794" width="18.42578125" style="141" customWidth="1"/>
    <col min="1795" max="1798" width="12.42578125" style="141" customWidth="1"/>
    <col min="1799" max="1799" width="11.7109375" style="141" customWidth="1"/>
    <col min="1800" max="2048" width="9.140625" style="141"/>
    <col min="2049" max="2049" width="37.28515625" style="141" customWidth="1"/>
    <col min="2050" max="2050" width="18.42578125" style="141" customWidth="1"/>
    <col min="2051" max="2054" width="12.42578125" style="141" customWidth="1"/>
    <col min="2055" max="2055" width="11.7109375" style="141" customWidth="1"/>
    <col min="2056" max="2304" width="9.140625" style="141"/>
    <col min="2305" max="2305" width="37.28515625" style="141" customWidth="1"/>
    <col min="2306" max="2306" width="18.42578125" style="141" customWidth="1"/>
    <col min="2307" max="2310" width="12.42578125" style="141" customWidth="1"/>
    <col min="2311" max="2311" width="11.7109375" style="141" customWidth="1"/>
    <col min="2312" max="2560" width="9.140625" style="141"/>
    <col min="2561" max="2561" width="37.28515625" style="141" customWidth="1"/>
    <col min="2562" max="2562" width="18.42578125" style="141" customWidth="1"/>
    <col min="2563" max="2566" width="12.42578125" style="141" customWidth="1"/>
    <col min="2567" max="2567" width="11.7109375" style="141" customWidth="1"/>
    <col min="2568" max="2816" width="9.140625" style="141"/>
    <col min="2817" max="2817" width="37.28515625" style="141" customWidth="1"/>
    <col min="2818" max="2818" width="18.42578125" style="141" customWidth="1"/>
    <col min="2819" max="2822" width="12.42578125" style="141" customWidth="1"/>
    <col min="2823" max="2823" width="11.7109375" style="141" customWidth="1"/>
    <col min="2824" max="3072" width="9.140625" style="141"/>
    <col min="3073" max="3073" width="37.28515625" style="141" customWidth="1"/>
    <col min="3074" max="3074" width="18.42578125" style="141" customWidth="1"/>
    <col min="3075" max="3078" width="12.42578125" style="141" customWidth="1"/>
    <col min="3079" max="3079" width="11.7109375" style="141" customWidth="1"/>
    <col min="3080" max="3328" width="9.140625" style="141"/>
    <col min="3329" max="3329" width="37.28515625" style="141" customWidth="1"/>
    <col min="3330" max="3330" width="18.42578125" style="141" customWidth="1"/>
    <col min="3331" max="3334" width="12.42578125" style="141" customWidth="1"/>
    <col min="3335" max="3335" width="11.7109375" style="141" customWidth="1"/>
    <col min="3336" max="3584" width="9.140625" style="141"/>
    <col min="3585" max="3585" width="37.28515625" style="141" customWidth="1"/>
    <col min="3586" max="3586" width="18.42578125" style="141" customWidth="1"/>
    <col min="3587" max="3590" width="12.42578125" style="141" customWidth="1"/>
    <col min="3591" max="3591" width="11.7109375" style="141" customWidth="1"/>
    <col min="3592" max="3840" width="9.140625" style="141"/>
    <col min="3841" max="3841" width="37.28515625" style="141" customWidth="1"/>
    <col min="3842" max="3842" width="18.42578125" style="141" customWidth="1"/>
    <col min="3843" max="3846" width="12.42578125" style="141" customWidth="1"/>
    <col min="3847" max="3847" width="11.7109375" style="141" customWidth="1"/>
    <col min="3848" max="4096" width="9.140625" style="141"/>
    <col min="4097" max="4097" width="37.28515625" style="141" customWidth="1"/>
    <col min="4098" max="4098" width="18.42578125" style="141" customWidth="1"/>
    <col min="4099" max="4102" width="12.42578125" style="141" customWidth="1"/>
    <col min="4103" max="4103" width="11.7109375" style="141" customWidth="1"/>
    <col min="4104" max="4352" width="9.140625" style="141"/>
    <col min="4353" max="4353" width="37.28515625" style="141" customWidth="1"/>
    <col min="4354" max="4354" width="18.42578125" style="141" customWidth="1"/>
    <col min="4355" max="4358" width="12.42578125" style="141" customWidth="1"/>
    <col min="4359" max="4359" width="11.7109375" style="141" customWidth="1"/>
    <col min="4360" max="4608" width="9.140625" style="141"/>
    <col min="4609" max="4609" width="37.28515625" style="141" customWidth="1"/>
    <col min="4610" max="4610" width="18.42578125" style="141" customWidth="1"/>
    <col min="4611" max="4614" width="12.42578125" style="141" customWidth="1"/>
    <col min="4615" max="4615" width="11.7109375" style="141" customWidth="1"/>
    <col min="4616" max="4864" width="9.140625" style="141"/>
    <col min="4865" max="4865" width="37.28515625" style="141" customWidth="1"/>
    <col min="4866" max="4866" width="18.42578125" style="141" customWidth="1"/>
    <col min="4867" max="4870" width="12.42578125" style="141" customWidth="1"/>
    <col min="4871" max="4871" width="11.7109375" style="141" customWidth="1"/>
    <col min="4872" max="5120" width="9.140625" style="141"/>
    <col min="5121" max="5121" width="37.28515625" style="141" customWidth="1"/>
    <col min="5122" max="5122" width="18.42578125" style="141" customWidth="1"/>
    <col min="5123" max="5126" width="12.42578125" style="141" customWidth="1"/>
    <col min="5127" max="5127" width="11.7109375" style="141" customWidth="1"/>
    <col min="5128" max="5376" width="9.140625" style="141"/>
    <col min="5377" max="5377" width="37.28515625" style="141" customWidth="1"/>
    <col min="5378" max="5378" width="18.42578125" style="141" customWidth="1"/>
    <col min="5379" max="5382" width="12.42578125" style="141" customWidth="1"/>
    <col min="5383" max="5383" width="11.7109375" style="141" customWidth="1"/>
    <col min="5384" max="5632" width="9.140625" style="141"/>
    <col min="5633" max="5633" width="37.28515625" style="141" customWidth="1"/>
    <col min="5634" max="5634" width="18.42578125" style="141" customWidth="1"/>
    <col min="5635" max="5638" width="12.42578125" style="141" customWidth="1"/>
    <col min="5639" max="5639" width="11.7109375" style="141" customWidth="1"/>
    <col min="5640" max="5888" width="9.140625" style="141"/>
    <col min="5889" max="5889" width="37.28515625" style="141" customWidth="1"/>
    <col min="5890" max="5890" width="18.42578125" style="141" customWidth="1"/>
    <col min="5891" max="5894" width="12.42578125" style="141" customWidth="1"/>
    <col min="5895" max="5895" width="11.7109375" style="141" customWidth="1"/>
    <col min="5896" max="6144" width="9.140625" style="141"/>
    <col min="6145" max="6145" width="37.28515625" style="141" customWidth="1"/>
    <col min="6146" max="6146" width="18.42578125" style="141" customWidth="1"/>
    <col min="6147" max="6150" width="12.42578125" style="141" customWidth="1"/>
    <col min="6151" max="6151" width="11.7109375" style="141" customWidth="1"/>
    <col min="6152" max="6400" width="9.140625" style="141"/>
    <col min="6401" max="6401" width="37.28515625" style="141" customWidth="1"/>
    <col min="6402" max="6402" width="18.42578125" style="141" customWidth="1"/>
    <col min="6403" max="6406" width="12.42578125" style="141" customWidth="1"/>
    <col min="6407" max="6407" width="11.7109375" style="141" customWidth="1"/>
    <col min="6408" max="6656" width="9.140625" style="141"/>
    <col min="6657" max="6657" width="37.28515625" style="141" customWidth="1"/>
    <col min="6658" max="6658" width="18.42578125" style="141" customWidth="1"/>
    <col min="6659" max="6662" width="12.42578125" style="141" customWidth="1"/>
    <col min="6663" max="6663" width="11.7109375" style="141" customWidth="1"/>
    <col min="6664" max="6912" width="9.140625" style="141"/>
    <col min="6913" max="6913" width="37.28515625" style="141" customWidth="1"/>
    <col min="6914" max="6914" width="18.42578125" style="141" customWidth="1"/>
    <col min="6915" max="6918" width="12.42578125" style="141" customWidth="1"/>
    <col min="6919" max="6919" width="11.7109375" style="141" customWidth="1"/>
    <col min="6920" max="7168" width="9.140625" style="141"/>
    <col min="7169" max="7169" width="37.28515625" style="141" customWidth="1"/>
    <col min="7170" max="7170" width="18.42578125" style="141" customWidth="1"/>
    <col min="7171" max="7174" width="12.42578125" style="141" customWidth="1"/>
    <col min="7175" max="7175" width="11.7109375" style="141" customWidth="1"/>
    <col min="7176" max="7424" width="9.140625" style="141"/>
    <col min="7425" max="7425" width="37.28515625" style="141" customWidth="1"/>
    <col min="7426" max="7426" width="18.42578125" style="141" customWidth="1"/>
    <col min="7427" max="7430" width="12.42578125" style="141" customWidth="1"/>
    <col min="7431" max="7431" width="11.7109375" style="141" customWidth="1"/>
    <col min="7432" max="7680" width="9.140625" style="141"/>
    <col min="7681" max="7681" width="37.28515625" style="141" customWidth="1"/>
    <col min="7682" max="7682" width="18.42578125" style="141" customWidth="1"/>
    <col min="7683" max="7686" width="12.42578125" style="141" customWidth="1"/>
    <col min="7687" max="7687" width="11.7109375" style="141" customWidth="1"/>
    <col min="7688" max="7936" width="9.140625" style="141"/>
    <col min="7937" max="7937" width="37.28515625" style="141" customWidth="1"/>
    <col min="7938" max="7938" width="18.42578125" style="141" customWidth="1"/>
    <col min="7939" max="7942" width="12.42578125" style="141" customWidth="1"/>
    <col min="7943" max="7943" width="11.7109375" style="141" customWidth="1"/>
    <col min="7944" max="8192" width="9.140625" style="141"/>
    <col min="8193" max="8193" width="37.28515625" style="141" customWidth="1"/>
    <col min="8194" max="8194" width="18.42578125" style="141" customWidth="1"/>
    <col min="8195" max="8198" width="12.42578125" style="141" customWidth="1"/>
    <col min="8199" max="8199" width="11.7109375" style="141" customWidth="1"/>
    <col min="8200" max="8448" width="9.140625" style="141"/>
    <col min="8449" max="8449" width="37.28515625" style="141" customWidth="1"/>
    <col min="8450" max="8450" width="18.42578125" style="141" customWidth="1"/>
    <col min="8451" max="8454" width="12.42578125" style="141" customWidth="1"/>
    <col min="8455" max="8455" width="11.7109375" style="141" customWidth="1"/>
    <col min="8456" max="8704" width="9.140625" style="141"/>
    <col min="8705" max="8705" width="37.28515625" style="141" customWidth="1"/>
    <col min="8706" max="8706" width="18.42578125" style="141" customWidth="1"/>
    <col min="8707" max="8710" width="12.42578125" style="141" customWidth="1"/>
    <col min="8711" max="8711" width="11.7109375" style="141" customWidth="1"/>
    <col min="8712" max="8960" width="9.140625" style="141"/>
    <col min="8961" max="8961" width="37.28515625" style="141" customWidth="1"/>
    <col min="8962" max="8962" width="18.42578125" style="141" customWidth="1"/>
    <col min="8963" max="8966" width="12.42578125" style="141" customWidth="1"/>
    <col min="8967" max="8967" width="11.7109375" style="141" customWidth="1"/>
    <col min="8968" max="9216" width="9.140625" style="141"/>
    <col min="9217" max="9217" width="37.28515625" style="141" customWidth="1"/>
    <col min="9218" max="9218" width="18.42578125" style="141" customWidth="1"/>
    <col min="9219" max="9222" width="12.42578125" style="141" customWidth="1"/>
    <col min="9223" max="9223" width="11.7109375" style="141" customWidth="1"/>
    <col min="9224" max="9472" width="9.140625" style="141"/>
    <col min="9473" max="9473" width="37.28515625" style="141" customWidth="1"/>
    <col min="9474" max="9474" width="18.42578125" style="141" customWidth="1"/>
    <col min="9475" max="9478" width="12.42578125" style="141" customWidth="1"/>
    <col min="9479" max="9479" width="11.7109375" style="141" customWidth="1"/>
    <col min="9480" max="9728" width="9.140625" style="141"/>
    <col min="9729" max="9729" width="37.28515625" style="141" customWidth="1"/>
    <col min="9730" max="9730" width="18.42578125" style="141" customWidth="1"/>
    <col min="9731" max="9734" width="12.42578125" style="141" customWidth="1"/>
    <col min="9735" max="9735" width="11.7109375" style="141" customWidth="1"/>
    <col min="9736" max="9984" width="9.140625" style="141"/>
    <col min="9985" max="9985" width="37.28515625" style="141" customWidth="1"/>
    <col min="9986" max="9986" width="18.42578125" style="141" customWidth="1"/>
    <col min="9987" max="9990" width="12.42578125" style="141" customWidth="1"/>
    <col min="9991" max="9991" width="11.7109375" style="141" customWidth="1"/>
    <col min="9992" max="10240" width="9.140625" style="141"/>
    <col min="10241" max="10241" width="37.28515625" style="141" customWidth="1"/>
    <col min="10242" max="10242" width="18.42578125" style="141" customWidth="1"/>
    <col min="10243" max="10246" width="12.42578125" style="141" customWidth="1"/>
    <col min="10247" max="10247" width="11.7109375" style="141" customWidth="1"/>
    <col min="10248" max="10496" width="9.140625" style="141"/>
    <col min="10497" max="10497" width="37.28515625" style="141" customWidth="1"/>
    <col min="10498" max="10498" width="18.42578125" style="141" customWidth="1"/>
    <col min="10499" max="10502" width="12.42578125" style="141" customWidth="1"/>
    <col min="10503" max="10503" width="11.7109375" style="141" customWidth="1"/>
    <col min="10504" max="10752" width="9.140625" style="141"/>
    <col min="10753" max="10753" width="37.28515625" style="141" customWidth="1"/>
    <col min="10754" max="10754" width="18.42578125" style="141" customWidth="1"/>
    <col min="10755" max="10758" width="12.42578125" style="141" customWidth="1"/>
    <col min="10759" max="10759" width="11.7109375" style="141" customWidth="1"/>
    <col min="10760" max="11008" width="9.140625" style="141"/>
    <col min="11009" max="11009" width="37.28515625" style="141" customWidth="1"/>
    <col min="11010" max="11010" width="18.42578125" style="141" customWidth="1"/>
    <col min="11011" max="11014" width="12.42578125" style="141" customWidth="1"/>
    <col min="11015" max="11015" width="11.7109375" style="141" customWidth="1"/>
    <col min="11016" max="11264" width="9.140625" style="141"/>
    <col min="11265" max="11265" width="37.28515625" style="141" customWidth="1"/>
    <col min="11266" max="11266" width="18.42578125" style="141" customWidth="1"/>
    <col min="11267" max="11270" width="12.42578125" style="141" customWidth="1"/>
    <col min="11271" max="11271" width="11.7109375" style="141" customWidth="1"/>
    <col min="11272" max="11520" width="9.140625" style="141"/>
    <col min="11521" max="11521" width="37.28515625" style="141" customWidth="1"/>
    <col min="11522" max="11522" width="18.42578125" style="141" customWidth="1"/>
    <col min="11523" max="11526" width="12.42578125" style="141" customWidth="1"/>
    <col min="11527" max="11527" width="11.7109375" style="141" customWidth="1"/>
    <col min="11528" max="11776" width="9.140625" style="141"/>
    <col min="11777" max="11777" width="37.28515625" style="141" customWidth="1"/>
    <col min="11778" max="11778" width="18.42578125" style="141" customWidth="1"/>
    <col min="11779" max="11782" width="12.42578125" style="141" customWidth="1"/>
    <col min="11783" max="11783" width="11.7109375" style="141" customWidth="1"/>
    <col min="11784" max="12032" width="9.140625" style="141"/>
    <col min="12033" max="12033" width="37.28515625" style="141" customWidth="1"/>
    <col min="12034" max="12034" width="18.42578125" style="141" customWidth="1"/>
    <col min="12035" max="12038" width="12.42578125" style="141" customWidth="1"/>
    <col min="12039" max="12039" width="11.7109375" style="141" customWidth="1"/>
    <col min="12040" max="12288" width="9.140625" style="141"/>
    <col min="12289" max="12289" width="37.28515625" style="141" customWidth="1"/>
    <col min="12290" max="12290" width="18.42578125" style="141" customWidth="1"/>
    <col min="12291" max="12294" width="12.42578125" style="141" customWidth="1"/>
    <col min="12295" max="12295" width="11.7109375" style="141" customWidth="1"/>
    <col min="12296" max="12544" width="9.140625" style="141"/>
    <col min="12545" max="12545" width="37.28515625" style="141" customWidth="1"/>
    <col min="12546" max="12546" width="18.42578125" style="141" customWidth="1"/>
    <col min="12547" max="12550" width="12.42578125" style="141" customWidth="1"/>
    <col min="12551" max="12551" width="11.7109375" style="141" customWidth="1"/>
    <col min="12552" max="12800" width="9.140625" style="141"/>
    <col min="12801" max="12801" width="37.28515625" style="141" customWidth="1"/>
    <col min="12802" max="12802" width="18.42578125" style="141" customWidth="1"/>
    <col min="12803" max="12806" width="12.42578125" style="141" customWidth="1"/>
    <col min="12807" max="12807" width="11.7109375" style="141" customWidth="1"/>
    <col min="12808" max="13056" width="9.140625" style="141"/>
    <col min="13057" max="13057" width="37.28515625" style="141" customWidth="1"/>
    <col min="13058" max="13058" width="18.42578125" style="141" customWidth="1"/>
    <col min="13059" max="13062" width="12.42578125" style="141" customWidth="1"/>
    <col min="13063" max="13063" width="11.7109375" style="141" customWidth="1"/>
    <col min="13064" max="13312" width="9.140625" style="141"/>
    <col min="13313" max="13313" width="37.28515625" style="141" customWidth="1"/>
    <col min="13314" max="13314" width="18.42578125" style="141" customWidth="1"/>
    <col min="13315" max="13318" width="12.42578125" style="141" customWidth="1"/>
    <col min="13319" max="13319" width="11.7109375" style="141" customWidth="1"/>
    <col min="13320" max="13568" width="9.140625" style="141"/>
    <col min="13569" max="13569" width="37.28515625" style="141" customWidth="1"/>
    <col min="13570" max="13570" width="18.42578125" style="141" customWidth="1"/>
    <col min="13571" max="13574" width="12.42578125" style="141" customWidth="1"/>
    <col min="13575" max="13575" width="11.7109375" style="141" customWidth="1"/>
    <col min="13576" max="13824" width="9.140625" style="141"/>
    <col min="13825" max="13825" width="37.28515625" style="141" customWidth="1"/>
    <col min="13826" max="13826" width="18.42578125" style="141" customWidth="1"/>
    <col min="13827" max="13830" width="12.42578125" style="141" customWidth="1"/>
    <col min="13831" max="13831" width="11.7109375" style="141" customWidth="1"/>
    <col min="13832" max="14080" width="9.140625" style="141"/>
    <col min="14081" max="14081" width="37.28515625" style="141" customWidth="1"/>
    <col min="14082" max="14082" width="18.42578125" style="141" customWidth="1"/>
    <col min="14083" max="14086" width="12.42578125" style="141" customWidth="1"/>
    <col min="14087" max="14087" width="11.7109375" style="141" customWidth="1"/>
    <col min="14088" max="14336" width="9.140625" style="141"/>
    <col min="14337" max="14337" width="37.28515625" style="141" customWidth="1"/>
    <col min="14338" max="14338" width="18.42578125" style="141" customWidth="1"/>
    <col min="14339" max="14342" width="12.42578125" style="141" customWidth="1"/>
    <col min="14343" max="14343" width="11.7109375" style="141" customWidth="1"/>
    <col min="14344" max="14592" width="9.140625" style="141"/>
    <col min="14593" max="14593" width="37.28515625" style="141" customWidth="1"/>
    <col min="14594" max="14594" width="18.42578125" style="141" customWidth="1"/>
    <col min="14595" max="14598" width="12.42578125" style="141" customWidth="1"/>
    <col min="14599" max="14599" width="11.7109375" style="141" customWidth="1"/>
    <col min="14600" max="14848" width="9.140625" style="141"/>
    <col min="14849" max="14849" width="37.28515625" style="141" customWidth="1"/>
    <col min="14850" max="14850" width="18.42578125" style="141" customWidth="1"/>
    <col min="14851" max="14854" width="12.42578125" style="141" customWidth="1"/>
    <col min="14855" max="14855" width="11.7109375" style="141" customWidth="1"/>
    <col min="14856" max="15104" width="9.140625" style="141"/>
    <col min="15105" max="15105" width="37.28515625" style="141" customWidth="1"/>
    <col min="15106" max="15106" width="18.42578125" style="141" customWidth="1"/>
    <col min="15107" max="15110" width="12.42578125" style="141" customWidth="1"/>
    <col min="15111" max="15111" width="11.7109375" style="141" customWidth="1"/>
    <col min="15112" max="15360" width="9.140625" style="141"/>
    <col min="15361" max="15361" width="37.28515625" style="141" customWidth="1"/>
    <col min="15362" max="15362" width="18.42578125" style="141" customWidth="1"/>
    <col min="15363" max="15366" width="12.42578125" style="141" customWidth="1"/>
    <col min="15367" max="15367" width="11.7109375" style="141" customWidth="1"/>
    <col min="15368" max="15616" width="9.140625" style="141"/>
    <col min="15617" max="15617" width="37.28515625" style="141" customWidth="1"/>
    <col min="15618" max="15618" width="18.42578125" style="141" customWidth="1"/>
    <col min="15619" max="15622" width="12.42578125" style="141" customWidth="1"/>
    <col min="15623" max="15623" width="11.7109375" style="141" customWidth="1"/>
    <col min="15624" max="15872" width="9.140625" style="141"/>
    <col min="15873" max="15873" width="37.28515625" style="141" customWidth="1"/>
    <col min="15874" max="15874" width="18.42578125" style="141" customWidth="1"/>
    <col min="15875" max="15878" width="12.42578125" style="141" customWidth="1"/>
    <col min="15879" max="15879" width="11.7109375" style="141" customWidth="1"/>
    <col min="15880" max="16128" width="9.140625" style="141"/>
    <col min="16129" max="16129" width="37.28515625" style="141" customWidth="1"/>
    <col min="16130" max="16130" width="18.42578125" style="141" customWidth="1"/>
    <col min="16131" max="16134" width="12.42578125" style="141" customWidth="1"/>
    <col min="16135" max="16135" width="11.7109375" style="141" customWidth="1"/>
    <col min="16136" max="16384" width="9.140625" style="141"/>
  </cols>
  <sheetData>
    <row r="1" spans="1:18">
      <c r="A1" s="425"/>
      <c r="B1" s="425"/>
      <c r="C1" s="425"/>
      <c r="D1" s="425"/>
      <c r="E1" s="425"/>
      <c r="F1" s="425"/>
    </row>
    <row r="2" spans="1:18">
      <c r="A2" s="440" t="s">
        <v>360</v>
      </c>
      <c r="B2" s="416"/>
      <c r="C2" s="416"/>
      <c r="D2" s="416"/>
      <c r="E2" s="416"/>
      <c r="F2" s="416"/>
      <c r="G2" s="416"/>
      <c r="H2" s="416"/>
      <c r="I2" s="328"/>
    </row>
    <row r="3" spans="1:18">
      <c r="A3" s="142"/>
      <c r="B3" s="143"/>
      <c r="C3" s="143"/>
      <c r="D3" s="143"/>
      <c r="E3" s="143"/>
      <c r="F3" s="143"/>
    </row>
    <row r="4" spans="1:18">
      <c r="A4" s="144" t="s">
        <v>145</v>
      </c>
      <c r="B4" s="343" t="s">
        <v>148</v>
      </c>
      <c r="C4" s="343" t="s">
        <v>149</v>
      </c>
      <c r="D4" s="343" t="s">
        <v>150</v>
      </c>
      <c r="E4" s="343" t="s">
        <v>151</v>
      </c>
      <c r="F4" s="343" t="s">
        <v>152</v>
      </c>
      <c r="G4" s="247" t="s">
        <v>153</v>
      </c>
      <c r="H4" s="247" t="s">
        <v>154</v>
      </c>
    </row>
    <row r="5" spans="1:18" s="148" customFormat="1">
      <c r="A5" s="145"/>
      <c r="B5" s="146"/>
      <c r="C5" s="147"/>
      <c r="D5" s="147"/>
      <c r="E5" s="147"/>
      <c r="F5" s="147"/>
      <c r="G5" s="147"/>
      <c r="H5" s="147"/>
    </row>
    <row r="6" spans="1:18">
      <c r="A6" s="149" t="s">
        <v>361</v>
      </c>
      <c r="B6" s="150"/>
      <c r="C6" s="150"/>
      <c r="D6" s="150"/>
      <c r="E6" s="150"/>
      <c r="F6" s="150"/>
      <c r="G6" s="150"/>
      <c r="H6" s="150"/>
    </row>
    <row r="7" spans="1:18">
      <c r="A7" s="151" t="s">
        <v>362</v>
      </c>
      <c r="B7" s="152"/>
      <c r="C7" s="152"/>
      <c r="D7" s="152"/>
      <c r="E7" s="152"/>
      <c r="F7" s="152"/>
      <c r="G7" s="152"/>
      <c r="H7" s="152"/>
    </row>
    <row r="8" spans="1:18">
      <c r="A8" s="151" t="s">
        <v>363</v>
      </c>
      <c r="B8" s="153">
        <f>'8.Cash Flow '!C35</f>
        <v>1925828.0095549524</v>
      </c>
      <c r="C8" s="153">
        <f>'8.Cash Flow '!D35</f>
        <v>3795807.2512651384</v>
      </c>
      <c r="D8" s="153">
        <f>'8.Cash Flow '!E35</f>
        <v>5893616.6638425589</v>
      </c>
      <c r="E8" s="153">
        <f>'8.Cash Flow '!F35</f>
        <v>8459940.9917117059</v>
      </c>
      <c r="F8" s="153">
        <f>'8.Cash Flow '!G35</f>
        <v>11551516.382965863</v>
      </c>
      <c r="G8" s="153">
        <f>'8.Cash Flow '!H35</f>
        <v>17473667.130990565</v>
      </c>
      <c r="H8" s="153">
        <f>'8.Cash Flow '!I35</f>
        <v>24094030.821643502</v>
      </c>
      <c r="K8" s="154"/>
      <c r="L8" s="154"/>
      <c r="M8" s="154"/>
      <c r="N8" s="154"/>
      <c r="O8" s="154"/>
      <c r="P8" s="154"/>
      <c r="Q8" s="154"/>
      <c r="R8" s="154"/>
    </row>
    <row r="9" spans="1:18">
      <c r="A9" s="156" t="s">
        <v>364</v>
      </c>
      <c r="B9" s="155">
        <f>'5.Closing Stock &amp; W Capital'!E41</f>
        <v>2217360.4420284498</v>
      </c>
      <c r="C9" s="155">
        <f>'5.Closing Stock &amp; W Capital'!F41</f>
        <v>2543365.6739211064</v>
      </c>
      <c r="D9" s="155">
        <f>'5.Closing Stock &amp; W Capital'!G41</f>
        <v>2876101.7882009787</v>
      </c>
      <c r="E9" s="155">
        <f>'5.Closing Stock &amp; W Capital'!H41</f>
        <v>3235753.0997240343</v>
      </c>
      <c r="F9" s="155">
        <f>'5.Closing Stock &amp; W Capital'!I41</f>
        <v>3624179.2879288946</v>
      </c>
      <c r="G9" s="155">
        <f>'5.Closing Stock &amp; W Capital'!J41</f>
        <v>4043358.7122049304</v>
      </c>
      <c r="H9" s="155">
        <f>'5.Closing Stock &amp; W Capital'!K41</f>
        <v>4495395.6306887474</v>
      </c>
      <c r="K9" s="154"/>
      <c r="L9" s="154"/>
      <c r="M9" s="154"/>
      <c r="N9" s="154"/>
      <c r="O9" s="154"/>
      <c r="P9" s="154"/>
      <c r="Q9" s="154"/>
      <c r="R9" s="154"/>
    </row>
    <row r="10" spans="1:18">
      <c r="A10" s="156" t="s">
        <v>365</v>
      </c>
      <c r="B10" s="155">
        <f>'5.Closing Stock &amp; W Capital'!E42</f>
        <v>522718.70555520005</v>
      </c>
      <c r="C10" s="155">
        <f>'5.Closing Stock &amp; W Capital'!F42</f>
        <v>594592.52756904019</v>
      </c>
      <c r="D10" s="155">
        <f>'5.Closing Stock &amp; W Capital'!G42</f>
        <v>672346.93502037611</v>
      </c>
      <c r="E10" s="155">
        <f>'5.Closing Stock &amp; W Capital'!H42</f>
        <v>756390.30189792311</v>
      </c>
      <c r="F10" s="155">
        <f>'5.Closing Stock &amp; W Capital'!I42</f>
        <v>847157.13812567398</v>
      </c>
      <c r="G10" s="155">
        <f>'5.Closing Stock &amp; W Capital'!J42</f>
        <v>945109.68222145503</v>
      </c>
      <c r="H10" s="155">
        <f>'5.Closing Stock &amp; W Capital'!K42</f>
        <v>1050739.5878815004</v>
      </c>
      <c r="K10" s="154"/>
      <c r="L10" s="154"/>
      <c r="M10" s="154"/>
      <c r="N10" s="154"/>
      <c r="O10" s="154"/>
      <c r="P10" s="154"/>
      <c r="Q10" s="154"/>
      <c r="R10" s="154"/>
    </row>
    <row r="11" spans="1:18">
      <c r="A11" s="151" t="s">
        <v>366</v>
      </c>
      <c r="B11" s="153">
        <f t="shared" ref="B11:H11" si="0">SUM(B8:B10)</f>
        <v>4665907.1571386019</v>
      </c>
      <c r="C11" s="153">
        <f t="shared" si="0"/>
        <v>6933765.4527552854</v>
      </c>
      <c r="D11" s="153">
        <f t="shared" si="0"/>
        <v>9442065.387063913</v>
      </c>
      <c r="E11" s="153">
        <f t="shared" si="0"/>
        <v>12452084.393333662</v>
      </c>
      <c r="F11" s="153">
        <f t="shared" si="0"/>
        <v>16022852.809020432</v>
      </c>
      <c r="G11" s="153">
        <f t="shared" si="0"/>
        <v>22462135.525416948</v>
      </c>
      <c r="H11" s="153">
        <f t="shared" si="0"/>
        <v>29640166.040213753</v>
      </c>
    </row>
    <row r="12" spans="1:18">
      <c r="A12" s="151"/>
      <c r="B12" s="155"/>
      <c r="C12" s="155"/>
      <c r="D12" s="155"/>
      <c r="E12" s="155"/>
      <c r="F12" s="155"/>
      <c r="G12" s="155"/>
      <c r="H12" s="155"/>
      <c r="J12" s="154"/>
      <c r="K12" s="154"/>
      <c r="L12" s="154"/>
      <c r="M12" s="154"/>
      <c r="N12" s="154"/>
      <c r="O12" s="154"/>
      <c r="P12" s="154"/>
      <c r="Q12" s="154"/>
    </row>
    <row r="13" spans="1:18">
      <c r="A13" s="156" t="s">
        <v>367</v>
      </c>
      <c r="B13" s="155">
        <f>'3.Other Exp &amp; Taxes'!C65</f>
        <v>19126500</v>
      </c>
      <c r="C13" s="155">
        <f>'3.Other Exp &amp; Taxes'!D65</f>
        <v>18038469.050000001</v>
      </c>
      <c r="D13" s="155">
        <f>'3.Other Exp &amp; Taxes'!E65</f>
        <v>16950438.100000001</v>
      </c>
      <c r="E13" s="155">
        <f>'3.Other Exp &amp; Taxes'!F65</f>
        <v>15862407.150000002</v>
      </c>
      <c r="F13" s="155">
        <f>'3.Other Exp &amp; Taxes'!G65</f>
        <v>14774376.200000003</v>
      </c>
      <c r="G13" s="155">
        <f>'3.Other Exp &amp; Taxes'!H65</f>
        <v>13686345.250000004</v>
      </c>
      <c r="H13" s="155">
        <f>'3.Other Exp &amp; Taxes'!I65</f>
        <v>12598314.300000003</v>
      </c>
    </row>
    <row r="14" spans="1:18">
      <c r="A14" s="156" t="s">
        <v>368</v>
      </c>
      <c r="B14" s="155">
        <f>'3.Other Exp &amp; Taxes'!C66</f>
        <v>1088030.95</v>
      </c>
      <c r="C14" s="155">
        <f>'3.Other Exp &amp; Taxes'!D66</f>
        <v>1088030.95</v>
      </c>
      <c r="D14" s="155">
        <f>'3.Other Exp &amp; Taxes'!E66</f>
        <v>1088030.95</v>
      </c>
      <c r="E14" s="155">
        <f>'3.Other Exp &amp; Taxes'!F66</f>
        <v>1088030.95</v>
      </c>
      <c r="F14" s="155">
        <f>'3.Other Exp &amp; Taxes'!G66</f>
        <v>1088030.95</v>
      </c>
      <c r="G14" s="155">
        <f>'3.Other Exp &amp; Taxes'!H66</f>
        <v>1088030.95</v>
      </c>
      <c r="H14" s="155">
        <f>'3.Other Exp &amp; Taxes'!I66</f>
        <v>1088030.95</v>
      </c>
      <c r="K14" s="154"/>
      <c r="L14" s="154"/>
      <c r="M14" s="154"/>
      <c r="N14" s="154"/>
      <c r="O14" s="154"/>
      <c r="P14" s="154"/>
      <c r="Q14" s="154"/>
    </row>
    <row r="15" spans="1:18" s="143" customFormat="1">
      <c r="A15" s="151" t="s">
        <v>175</v>
      </c>
      <c r="B15" s="153">
        <f t="shared" ref="B15:H15" si="1">B13-B14</f>
        <v>18038469.050000001</v>
      </c>
      <c r="C15" s="153">
        <f t="shared" si="1"/>
        <v>16950438.100000001</v>
      </c>
      <c r="D15" s="153">
        <f t="shared" si="1"/>
        <v>15862407.150000002</v>
      </c>
      <c r="E15" s="153">
        <f t="shared" si="1"/>
        <v>14774376.200000003</v>
      </c>
      <c r="F15" s="153">
        <f t="shared" si="1"/>
        <v>13686345.250000004</v>
      </c>
      <c r="G15" s="153">
        <f t="shared" si="1"/>
        <v>12598314.300000004</v>
      </c>
      <c r="H15" s="153">
        <f t="shared" si="1"/>
        <v>11510283.350000003</v>
      </c>
    </row>
    <row r="16" spans="1:18" s="143" customFormat="1">
      <c r="A16" s="151"/>
      <c r="B16" s="153"/>
      <c r="C16" s="153"/>
      <c r="D16" s="153"/>
      <c r="E16" s="153"/>
      <c r="F16" s="153"/>
      <c r="G16" s="153"/>
      <c r="H16" s="153"/>
    </row>
    <row r="17" spans="1:8" s="143" customFormat="1">
      <c r="A17" s="157"/>
      <c r="B17" s="153"/>
      <c r="C17" s="153"/>
      <c r="D17" s="153"/>
      <c r="E17" s="153"/>
      <c r="F17" s="153"/>
      <c r="G17" s="153"/>
      <c r="H17" s="153"/>
    </row>
    <row r="18" spans="1:8" s="143" customFormat="1">
      <c r="A18" s="151" t="s">
        <v>369</v>
      </c>
      <c r="B18" s="153">
        <f>'8.Cash Flow '!C21-'6.Cons Profit &amp; Loss'!B43</f>
        <v>738400</v>
      </c>
      <c r="C18" s="153">
        <f>B18-'6.Cons Profit &amp; Loss'!C43</f>
        <v>553800</v>
      </c>
      <c r="D18" s="153">
        <f>C18-'6.Cons Profit &amp; Loss'!D43</f>
        <v>369200</v>
      </c>
      <c r="E18" s="153">
        <f>D18-'6.Cons Profit &amp; Loss'!E43</f>
        <v>184600</v>
      </c>
      <c r="F18" s="153">
        <f>E18-'6.Cons Profit &amp; Loss'!F43</f>
        <v>0</v>
      </c>
      <c r="G18" s="153">
        <f>F18-'6.Cons Profit &amp; Loss'!G43</f>
        <v>0</v>
      </c>
      <c r="H18" s="153">
        <f>G18-'6.Cons Profit &amp; Loss'!H43</f>
        <v>0</v>
      </c>
    </row>
    <row r="19" spans="1:8">
      <c r="A19" s="156"/>
      <c r="B19" s="155"/>
      <c r="C19" s="155"/>
      <c r="D19" s="155"/>
      <c r="E19" s="155"/>
      <c r="F19" s="155"/>
      <c r="G19" s="155"/>
      <c r="H19" s="155"/>
    </row>
    <row r="20" spans="1:8">
      <c r="A20" s="157" t="s">
        <v>370</v>
      </c>
      <c r="B20" s="158">
        <f t="shared" ref="B20:H20" si="2">B11+B15+B17+B18</f>
        <v>23442776.207138602</v>
      </c>
      <c r="C20" s="158">
        <f t="shared" si="2"/>
        <v>24438003.552755289</v>
      </c>
      <c r="D20" s="158">
        <f t="shared" si="2"/>
        <v>25673672.537063915</v>
      </c>
      <c r="E20" s="158">
        <f t="shared" si="2"/>
        <v>27411060.593333665</v>
      </c>
      <c r="F20" s="158">
        <f t="shared" si="2"/>
        <v>29709198.059020437</v>
      </c>
      <c r="G20" s="158">
        <f t="shared" si="2"/>
        <v>35060449.825416952</v>
      </c>
      <c r="H20" s="158">
        <f t="shared" si="2"/>
        <v>41150449.390213758</v>
      </c>
    </row>
    <row r="21" spans="1:8">
      <c r="A21" s="145"/>
      <c r="B21" s="159"/>
      <c r="C21" s="159"/>
      <c r="D21" s="159"/>
      <c r="E21" s="159"/>
      <c r="F21" s="159"/>
      <c r="G21" s="159"/>
      <c r="H21" s="159"/>
    </row>
    <row r="22" spans="1:8">
      <c r="A22" s="149" t="s">
        <v>371</v>
      </c>
      <c r="B22" s="160"/>
      <c r="C22" s="160"/>
      <c r="D22" s="160"/>
      <c r="E22" s="160"/>
      <c r="F22" s="160"/>
      <c r="G22" s="160"/>
      <c r="H22" s="160"/>
    </row>
    <row r="23" spans="1:8">
      <c r="A23" s="151" t="s">
        <v>372</v>
      </c>
      <c r="B23" s="160"/>
      <c r="C23" s="160"/>
      <c r="D23" s="160"/>
      <c r="E23" s="160"/>
      <c r="F23" s="160"/>
      <c r="G23" s="160"/>
      <c r="H23" s="160"/>
    </row>
    <row r="24" spans="1:8">
      <c r="A24" s="156" t="s">
        <v>373</v>
      </c>
      <c r="B24" s="155">
        <f>'5.Closing Stock &amp; W Capital'!E55-'5.Closing Stock &amp; W Capital'!E56</f>
        <v>548481.19787088712</v>
      </c>
      <c r="C24" s="155">
        <f>'5.Closing Stock &amp; W Capital'!F55-'5.Closing Stock &amp; W Capital'!F56</f>
        <v>832931.83662128495</v>
      </c>
      <c r="D24" s="155">
        <f>'5.Closing Stock &amp; W Capital'!G55-'5.Closing Stock &amp; W Capital'!G56</f>
        <v>941860.88526177965</v>
      </c>
      <c r="E24" s="155">
        <f>'5.Closing Stock &amp; W Capital'!H55-'5.Closing Stock &amp; W Capital'!H56</f>
        <v>1059600.5091747711</v>
      </c>
      <c r="F24" s="155">
        <f>'5.Closing Stock &amp; W Capital'!I55-'5.Closing Stock &amp; W Capital'!I56</f>
        <v>1186759.443265907</v>
      </c>
      <c r="G24" s="155">
        <f>'5.Closing Stock &amp; W Capital'!J55-'5.Closing Stock &amp; W Capital'!J56</f>
        <v>1323985.2694932199</v>
      </c>
      <c r="H24" s="155">
        <f>'5.Closing Stock &amp; W Capital'!K55-'5.Closing Stock &amp; W Capital'!K56</f>
        <v>1471966.7797350986</v>
      </c>
    </row>
    <row r="25" spans="1:8">
      <c r="A25" s="156" t="s">
        <v>374</v>
      </c>
      <c r="B25" s="159">
        <f>'5.Closing Stock &amp; W Capital'!E54</f>
        <v>2008770.8837558005</v>
      </c>
      <c r="C25" s="159">
        <f>'5.Closing Stock &amp; W Capital'!F54</f>
        <v>2305026.3648688616</v>
      </c>
      <c r="D25" s="159">
        <f>'5.Closing Stock &amp; W Capital'!G54</f>
        <v>2606587.837959575</v>
      </c>
      <c r="E25" s="159">
        <f>'5.Closing Stock &amp; W Capital'!H54</f>
        <v>2932542.8924471862</v>
      </c>
      <c r="F25" s="159">
        <f>'5.Closing Stock &amp; W Capital'!I54</f>
        <v>3284576.982788662</v>
      </c>
      <c r="G25" s="159">
        <f>'5.Closing Stock &amp; W Capital'!J54</f>
        <v>3664483.124933165</v>
      </c>
      <c r="H25" s="159">
        <f>'5.Closing Stock &amp; W Capital'!K54</f>
        <v>4074168.4388351487</v>
      </c>
    </row>
    <row r="26" spans="1:8" s="148" customFormat="1">
      <c r="A26" s="156" t="s">
        <v>375</v>
      </c>
      <c r="B26" s="153"/>
      <c r="C26" s="153"/>
      <c r="D26" s="153"/>
      <c r="E26" s="153"/>
      <c r="F26" s="153"/>
      <c r="G26" s="153"/>
      <c r="H26" s="153"/>
    </row>
    <row r="27" spans="1:8" s="148" customFormat="1">
      <c r="A27" s="151" t="s">
        <v>376</v>
      </c>
      <c r="B27" s="158">
        <f t="shared" ref="B27:H27" si="3">SUM(B24:B26)</f>
        <v>2557252.0816266877</v>
      </c>
      <c r="C27" s="158">
        <f t="shared" si="3"/>
        <v>3137958.2014901466</v>
      </c>
      <c r="D27" s="158">
        <f t="shared" si="3"/>
        <v>3548448.7232213547</v>
      </c>
      <c r="E27" s="158">
        <f t="shared" si="3"/>
        <v>3992143.4016219573</v>
      </c>
      <c r="F27" s="158">
        <f t="shared" si="3"/>
        <v>4471336.426054569</v>
      </c>
      <c r="G27" s="158">
        <f t="shared" si="3"/>
        <v>4988468.3944263849</v>
      </c>
      <c r="H27" s="158">
        <f t="shared" si="3"/>
        <v>5546135.2185702473</v>
      </c>
    </row>
    <row r="28" spans="1:8" s="148" customFormat="1">
      <c r="A28" s="151" t="s">
        <v>377</v>
      </c>
      <c r="B28" s="158">
        <f>'4.TL repayment sch'!G21</f>
        <v>9824873.4028660338</v>
      </c>
      <c r="C28" s="158">
        <f>'4.TL repayment sch'!G33</f>
        <v>8379096.4313887199</v>
      </c>
      <c r="D28" s="158">
        <f>'4.TL repayment sch'!G45</f>
        <v>6797695.6074929722</v>
      </c>
      <c r="E28" s="158">
        <f>'4.TL repayment sch'!G57</f>
        <v>5067948.4783332283</v>
      </c>
      <c r="F28" s="158">
        <f>'4.TL repayment sch'!G69</f>
        <v>3175939.1372317197</v>
      </c>
      <c r="G28" s="158">
        <f>'4.TL repayment sch'!G81</f>
        <v>3473864.1348872865</v>
      </c>
      <c r="H28" s="158">
        <f>'[1]Term Loan'!J72+'[1]Term Loan'!S72</f>
        <v>0</v>
      </c>
    </row>
    <row r="29" spans="1:8" s="148" customFormat="1">
      <c r="A29" s="151" t="s">
        <v>378</v>
      </c>
      <c r="B29" s="158"/>
      <c r="C29" s="158"/>
      <c r="D29" s="158"/>
      <c r="E29" s="158"/>
      <c r="F29" s="158"/>
      <c r="G29" s="158"/>
      <c r="H29" s="158"/>
    </row>
    <row r="30" spans="1:8" s="148" customFormat="1">
      <c r="A30" s="151"/>
      <c r="B30" s="161"/>
      <c r="C30" s="161"/>
      <c r="D30" s="161"/>
      <c r="E30" s="161"/>
      <c r="F30" s="161"/>
      <c r="G30" s="161"/>
      <c r="H30" s="161"/>
    </row>
    <row r="31" spans="1:8">
      <c r="A31" s="157" t="s">
        <v>379</v>
      </c>
      <c r="B31" s="158">
        <f t="shared" ref="B31:H31" si="4">SUM(B27:B29)</f>
        <v>12382125.484492721</v>
      </c>
      <c r="C31" s="158">
        <f t="shared" si="4"/>
        <v>11517054.632878866</v>
      </c>
      <c r="D31" s="158">
        <f t="shared" si="4"/>
        <v>10346144.330714326</v>
      </c>
      <c r="E31" s="158">
        <f t="shared" si="4"/>
        <v>9060091.8799551856</v>
      </c>
      <c r="F31" s="158">
        <f t="shared" si="4"/>
        <v>7647275.5632862886</v>
      </c>
      <c r="G31" s="158">
        <f t="shared" si="4"/>
        <v>8462332.5293136723</v>
      </c>
      <c r="H31" s="158">
        <f t="shared" si="4"/>
        <v>5546135.2185702473</v>
      </c>
    </row>
    <row r="32" spans="1:8">
      <c r="A32" s="145"/>
      <c r="B32" s="162"/>
      <c r="C32" s="162"/>
      <c r="D32" s="162"/>
      <c r="E32" s="162"/>
      <c r="F32" s="162"/>
      <c r="G32" s="162"/>
      <c r="H32" s="162"/>
    </row>
    <row r="33" spans="1:8">
      <c r="A33" s="156" t="s">
        <v>380</v>
      </c>
      <c r="B33" s="155">
        <f>'1.Project Cost and MOF'!E21</f>
        <v>-1198115.4812747035</v>
      </c>
      <c r="C33" s="155">
        <f>B33</f>
        <v>-1198115.4812747035</v>
      </c>
      <c r="D33" s="155">
        <f t="shared" ref="D33:H34" si="5">C33</f>
        <v>-1198115.4812747035</v>
      </c>
      <c r="E33" s="155">
        <f t="shared" si="5"/>
        <v>-1198115.4812747035</v>
      </c>
      <c r="F33" s="155">
        <f t="shared" si="5"/>
        <v>-1198115.4812747035</v>
      </c>
      <c r="G33" s="155">
        <f t="shared" si="5"/>
        <v>-1198115.4812747035</v>
      </c>
      <c r="H33" s="155">
        <f t="shared" si="5"/>
        <v>-1198115.4812747035</v>
      </c>
    </row>
    <row r="34" spans="1:8">
      <c r="A34" s="156" t="s">
        <v>381</v>
      </c>
      <c r="B34" s="155">
        <f>'1.Project Cost and MOF'!E19</f>
        <v>10929864.800000001</v>
      </c>
      <c r="C34" s="155">
        <f>B34</f>
        <v>10929864.800000001</v>
      </c>
      <c r="D34" s="155">
        <f t="shared" si="5"/>
        <v>10929864.800000001</v>
      </c>
      <c r="E34" s="155">
        <f t="shared" si="5"/>
        <v>10929864.800000001</v>
      </c>
      <c r="F34" s="155">
        <f t="shared" si="5"/>
        <v>10929864.800000001</v>
      </c>
      <c r="G34" s="155">
        <f t="shared" si="5"/>
        <v>10929864.800000001</v>
      </c>
      <c r="H34" s="155">
        <f t="shared" si="5"/>
        <v>10929864.800000001</v>
      </c>
    </row>
    <row r="35" spans="1:8">
      <c r="A35" s="151" t="s">
        <v>382</v>
      </c>
      <c r="B35" s="155"/>
      <c r="C35" s="155"/>
      <c r="D35" s="155"/>
      <c r="E35" s="155"/>
      <c r="F35" s="155"/>
      <c r="G35" s="155"/>
      <c r="H35" s="155"/>
    </row>
    <row r="36" spans="1:8">
      <c r="A36" s="156" t="s">
        <v>383</v>
      </c>
      <c r="B36" s="155">
        <v>0</v>
      </c>
      <c r="C36" s="155">
        <f t="shared" ref="C36:H36" si="6">B39</f>
        <v>1328901.4039205913</v>
      </c>
      <c r="D36" s="155">
        <f t="shared" si="6"/>
        <v>3189199.6011511334</v>
      </c>
      <c r="E36" s="155">
        <f t="shared" si="6"/>
        <v>5595778.8876243159</v>
      </c>
      <c r="F36" s="155">
        <f t="shared" si="6"/>
        <v>8619219.3946532123</v>
      </c>
      <c r="G36" s="155">
        <f t="shared" si="6"/>
        <v>12330173.177008878</v>
      </c>
      <c r="H36" s="155">
        <f t="shared" si="6"/>
        <v>16866367.977378026</v>
      </c>
    </row>
    <row r="37" spans="1:8">
      <c r="A37" s="156" t="s">
        <v>384</v>
      </c>
      <c r="B37" s="155">
        <f>'6.Cons Profit &amp; Loss'!B53</f>
        <v>1328901.4039205913</v>
      </c>
      <c r="C37" s="155">
        <f>'6.Cons Profit &amp; Loss'!C51</f>
        <v>1860298.1972305421</v>
      </c>
      <c r="D37" s="155">
        <f>'6.Cons Profit &amp; Loss'!D51</f>
        <v>2406579.286473183</v>
      </c>
      <c r="E37" s="155">
        <f>'6.Cons Profit &amp; Loss'!E51</f>
        <v>3023440.5070288964</v>
      </c>
      <c r="F37" s="155">
        <f>'6.Cons Profit &amp; Loss'!F51</f>
        <v>3710953.7823556666</v>
      </c>
      <c r="G37" s="155">
        <f>'6.Cons Profit &amp; Loss'!G51</f>
        <v>4536194.8003691491</v>
      </c>
      <c r="H37" s="155">
        <f>'6.Cons Profit &amp; Loss'!H51</f>
        <v>5206460.3232286554</v>
      </c>
    </row>
    <row r="38" spans="1:8">
      <c r="A38" s="156" t="s">
        <v>385</v>
      </c>
      <c r="B38" s="155"/>
      <c r="C38" s="155"/>
      <c r="D38" s="155"/>
      <c r="E38" s="155"/>
      <c r="F38" s="155"/>
      <c r="G38" s="155"/>
      <c r="H38" s="155"/>
    </row>
    <row r="39" spans="1:8">
      <c r="A39" s="156" t="s">
        <v>386</v>
      </c>
      <c r="B39" s="155">
        <f t="shared" ref="B39:H39" si="7">B36+B37-B38</f>
        <v>1328901.4039205913</v>
      </c>
      <c r="C39" s="155">
        <f t="shared" si="7"/>
        <v>3189199.6011511334</v>
      </c>
      <c r="D39" s="155">
        <f t="shared" si="7"/>
        <v>5595778.8876243159</v>
      </c>
      <c r="E39" s="155">
        <f t="shared" si="7"/>
        <v>8619219.3946532123</v>
      </c>
      <c r="F39" s="155">
        <f t="shared" si="7"/>
        <v>12330173.177008878</v>
      </c>
      <c r="G39" s="155">
        <f t="shared" si="7"/>
        <v>16866367.977378026</v>
      </c>
      <c r="H39" s="155">
        <f t="shared" si="7"/>
        <v>22072828.300606683</v>
      </c>
    </row>
    <row r="40" spans="1:8">
      <c r="A40" s="156"/>
      <c r="B40" s="160"/>
      <c r="C40" s="160"/>
      <c r="D40" s="160"/>
      <c r="E40" s="160"/>
      <c r="F40" s="160"/>
      <c r="G40" s="160"/>
      <c r="H40" s="160"/>
    </row>
    <row r="41" spans="1:8">
      <c r="A41" s="163" t="s">
        <v>387</v>
      </c>
      <c r="B41" s="164">
        <f t="shared" ref="B41:H41" si="8">B33+B39+B34</f>
        <v>11060650.722645888</v>
      </c>
      <c r="C41" s="164">
        <f t="shared" si="8"/>
        <v>12920948.91987643</v>
      </c>
      <c r="D41" s="164">
        <f t="shared" si="8"/>
        <v>15327528.206349613</v>
      </c>
      <c r="E41" s="164">
        <f t="shared" si="8"/>
        <v>18350968.713378511</v>
      </c>
      <c r="F41" s="164">
        <f t="shared" si="8"/>
        <v>22061922.495734178</v>
      </c>
      <c r="G41" s="164">
        <f t="shared" si="8"/>
        <v>26598117.296103321</v>
      </c>
      <c r="H41" s="164">
        <f t="shared" si="8"/>
        <v>31804577.619331982</v>
      </c>
    </row>
    <row r="42" spans="1:8">
      <c r="A42" s="145"/>
      <c r="B42" s="155"/>
      <c r="C42" s="155"/>
      <c r="D42" s="155"/>
      <c r="E42" s="155"/>
      <c r="F42" s="155"/>
      <c r="G42" s="155"/>
      <c r="H42" s="155"/>
    </row>
    <row r="43" spans="1:8">
      <c r="A43" s="157" t="s">
        <v>388</v>
      </c>
      <c r="B43" s="158">
        <f t="shared" ref="B43:H43" si="9">B31+B41</f>
        <v>23442776.207138609</v>
      </c>
      <c r="C43" s="158">
        <f t="shared" si="9"/>
        <v>24438003.552755296</v>
      </c>
      <c r="D43" s="158">
        <f t="shared" si="9"/>
        <v>25673672.537063941</v>
      </c>
      <c r="E43" s="158">
        <f t="shared" si="9"/>
        <v>27411060.593333699</v>
      </c>
      <c r="F43" s="158">
        <f t="shared" si="9"/>
        <v>29709198.059020467</v>
      </c>
      <c r="G43" s="158">
        <f t="shared" si="9"/>
        <v>35060449.825416997</v>
      </c>
      <c r="H43" s="158">
        <f t="shared" si="9"/>
        <v>37350712.837902233</v>
      </c>
    </row>
    <row r="44" spans="1:8">
      <c r="A44" s="145"/>
      <c r="B44" s="165"/>
      <c r="C44" s="165"/>
      <c r="D44" s="165"/>
      <c r="E44" s="165"/>
      <c r="F44" s="165"/>
      <c r="G44" s="165"/>
      <c r="H44" s="165"/>
    </row>
    <row r="45" spans="1:8">
      <c r="A45" s="166" t="s">
        <v>389</v>
      </c>
      <c r="B45" s="167"/>
      <c r="C45" s="167"/>
      <c r="D45" s="167"/>
      <c r="E45" s="167"/>
      <c r="F45" s="167"/>
      <c r="G45" s="167"/>
      <c r="H45" s="167"/>
    </row>
    <row r="46" spans="1:8">
      <c r="A46" s="168" t="s">
        <v>390</v>
      </c>
      <c r="B46" s="169">
        <f t="shared" ref="B46:H46" si="10">B43-B20</f>
        <v>0</v>
      </c>
      <c r="C46" s="169">
        <f t="shared" si="10"/>
        <v>0</v>
      </c>
      <c r="D46" s="169">
        <f t="shared" si="10"/>
        <v>0</v>
      </c>
      <c r="E46" s="169">
        <f t="shared" si="10"/>
        <v>3.3527612686157227E-8</v>
      </c>
      <c r="F46" s="169">
        <f t="shared" si="10"/>
        <v>2.9802322387695313E-8</v>
      </c>
      <c r="G46" s="169">
        <f t="shared" si="10"/>
        <v>0</v>
      </c>
      <c r="H46" s="169">
        <f t="shared" si="10"/>
        <v>-3799736.5523115247</v>
      </c>
    </row>
    <row r="47" spans="1:8">
      <c r="A47" s="168"/>
      <c r="B47" s="169"/>
      <c r="C47" s="169"/>
      <c r="D47" s="169"/>
      <c r="E47" s="169"/>
      <c r="F47" s="169"/>
      <c r="G47" s="169"/>
      <c r="H47" s="169"/>
    </row>
    <row r="48" spans="1:8">
      <c r="A48" s="170"/>
      <c r="B48" s="171"/>
      <c r="C48" s="171"/>
      <c r="D48" s="171"/>
      <c r="E48" s="171"/>
      <c r="F48" s="171"/>
      <c r="G48" s="171"/>
      <c r="H48" s="171"/>
    </row>
    <row r="49" spans="1:9">
      <c r="B49" s="172"/>
      <c r="C49" s="172"/>
      <c r="D49" s="172"/>
      <c r="E49" s="172"/>
      <c r="F49" s="172"/>
      <c r="G49" s="172"/>
      <c r="H49" s="172"/>
    </row>
    <row r="50" spans="1:9" ht="39.6" customHeight="1">
      <c r="A50" s="441" t="s">
        <v>391</v>
      </c>
      <c r="B50" s="442"/>
      <c r="C50" s="442"/>
      <c r="D50" s="442"/>
      <c r="E50" s="442"/>
      <c r="F50" s="442"/>
      <c r="G50" s="442"/>
      <c r="H50" s="442"/>
      <c r="I50" s="442"/>
    </row>
  </sheetData>
  <mergeCells count="3">
    <mergeCell ref="A1:F1"/>
    <mergeCell ref="A2:H2"/>
    <mergeCell ref="A50:I50"/>
  </mergeCells>
  <conditionalFormatting sqref="G36:G38">
    <cfRule type="cellIs" dxfId="2" priority="2" operator="lessThan">
      <formula>0</formula>
    </cfRule>
  </conditionalFormatting>
  <conditionalFormatting sqref="H36:H38">
    <cfRule type="cellIs" dxfId="1" priority="1" operator="lessThan">
      <formula>0</formula>
    </cfRule>
  </conditionalFormatting>
  <conditionalFormatting sqref="B36:F38 B37:H37">
    <cfRule type="cellIs" dxfId="0" priority="3"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dimension ref="A1:J43"/>
  <sheetViews>
    <sheetView view="pageBreakPreview" topLeftCell="A25" zoomScale="80" workbookViewId="0">
      <selection activeCell="A4" sqref="A4:I35"/>
    </sheetView>
  </sheetViews>
  <sheetFormatPr defaultColWidth="9" defaultRowHeight="15"/>
  <cols>
    <col min="1" max="1" width="3.5703125" style="220" customWidth="1"/>
    <col min="2" max="2" width="35.7109375" style="220" customWidth="1"/>
    <col min="3" max="3" width="15.5703125" style="220" customWidth="1"/>
    <col min="4" max="4" width="15.7109375" style="220" customWidth="1"/>
    <col min="5" max="5" width="14.5703125" style="220" customWidth="1"/>
    <col min="6" max="6" width="14.7109375" style="220" customWidth="1"/>
    <col min="7" max="7" width="18.85546875" style="220" customWidth="1"/>
    <col min="8" max="9" width="14.85546875" style="220" customWidth="1"/>
    <col min="10" max="16384" width="9" style="220"/>
  </cols>
  <sheetData>
    <row r="1" spans="1:10">
      <c r="A1" s="425"/>
      <c r="B1" s="425"/>
      <c r="C1" s="425"/>
      <c r="D1" s="425"/>
      <c r="E1" s="425"/>
      <c r="F1" s="425"/>
      <c r="G1" s="425"/>
    </row>
    <row r="2" spans="1:10">
      <c r="A2" s="416" t="s">
        <v>392</v>
      </c>
      <c r="B2" s="416"/>
      <c r="C2" s="416"/>
      <c r="D2" s="416"/>
      <c r="E2" s="416"/>
      <c r="F2" s="416"/>
      <c r="G2" s="416"/>
      <c r="H2" s="416"/>
      <c r="I2" s="416"/>
      <c r="J2" s="328"/>
    </row>
    <row r="4" spans="1:10">
      <c r="A4" s="329" t="s">
        <v>393</v>
      </c>
      <c r="B4" s="329" t="s">
        <v>145</v>
      </c>
      <c r="C4" s="330" t="s">
        <v>148</v>
      </c>
      <c r="D4" s="330" t="s">
        <v>149</v>
      </c>
      <c r="E4" s="330" t="s">
        <v>150</v>
      </c>
      <c r="F4" s="330" t="s">
        <v>151</v>
      </c>
      <c r="G4" s="330" t="s">
        <v>152</v>
      </c>
      <c r="H4" s="330" t="s">
        <v>153</v>
      </c>
      <c r="I4" s="330" t="s">
        <v>154</v>
      </c>
    </row>
    <row r="5" spans="1:10">
      <c r="A5" s="331">
        <v>1</v>
      </c>
      <c r="B5" s="331" t="s">
        <v>394</v>
      </c>
      <c r="C5" s="332"/>
      <c r="D5" s="332"/>
      <c r="E5" s="332"/>
      <c r="F5" s="332"/>
      <c r="G5" s="332"/>
      <c r="H5" s="332"/>
      <c r="I5" s="332"/>
    </row>
    <row r="6" spans="1:10">
      <c r="A6" s="331"/>
      <c r="B6" s="333" t="s">
        <v>395</v>
      </c>
      <c r="C6" s="332">
        <f>'6.Cons Profit &amp; Loss'!B15</f>
        <v>57809754.381456003</v>
      </c>
      <c r="D6" s="332">
        <f>'6.Cons Profit &amp; Loss'!C15</f>
        <v>66309176.498657413</v>
      </c>
      <c r="E6" s="332">
        <f>'6.Cons Profit &amp; Loss'!D15</f>
        <v>74984082.335239798</v>
      </c>
      <c r="F6" s="332">
        <f>'6.Cons Profit &amp; Loss'!E15</f>
        <v>84360705.81423375</v>
      </c>
      <c r="G6" s="332">
        <f>'6.Cons Profit &amp; Loss'!F15</f>
        <v>94487531.43528904</v>
      </c>
      <c r="H6" s="332">
        <f>'6.Cons Profit &amp; Loss'!G15</f>
        <v>105416137.85391426</v>
      </c>
      <c r="I6" s="332">
        <f>'6.Cons Profit &amp; Loss'!H15</f>
        <v>117201386.08581376</v>
      </c>
    </row>
    <row r="7" spans="1:10">
      <c r="A7" s="331">
        <v>2</v>
      </c>
      <c r="B7" s="331" t="s">
        <v>396</v>
      </c>
      <c r="C7" s="332">
        <f>'1.Project Cost and MOF'!E21</f>
        <v>-1198115.4812747035</v>
      </c>
      <c r="D7" s="332"/>
      <c r="E7" s="332"/>
      <c r="F7" s="332"/>
      <c r="G7" s="332"/>
      <c r="H7" s="332"/>
      <c r="I7" s="332"/>
    </row>
    <row r="8" spans="1:10">
      <c r="A8" s="331"/>
      <c r="B8" s="331" t="s">
        <v>397</v>
      </c>
      <c r="C8" s="332"/>
      <c r="D8" s="332"/>
      <c r="E8" s="332"/>
      <c r="F8" s="332"/>
      <c r="G8" s="332"/>
      <c r="H8" s="332"/>
      <c r="I8" s="332"/>
    </row>
    <row r="9" spans="1:10">
      <c r="A9" s="331">
        <v>3</v>
      </c>
      <c r="B9" s="331" t="str">
        <f>'7.Balance Sheet'!A34</f>
        <v>Smart Grant -in-Aid</v>
      </c>
      <c r="C9" s="332">
        <f>'1.Project Cost and MOF'!E19</f>
        <v>10929864.800000001</v>
      </c>
      <c r="D9" s="332"/>
      <c r="E9" s="332"/>
      <c r="F9" s="332"/>
      <c r="G9" s="332"/>
      <c r="H9" s="332"/>
      <c r="I9" s="332"/>
    </row>
    <row r="10" spans="1:10">
      <c r="A10" s="331">
        <v>4</v>
      </c>
      <c r="B10" s="331" t="s">
        <v>398</v>
      </c>
      <c r="C10" s="332">
        <f>'1.Project Cost and MOF'!E20</f>
        <v>10500577.747231664</v>
      </c>
      <c r="D10" s="332"/>
      <c r="E10" s="332"/>
      <c r="F10" s="332"/>
      <c r="G10" s="332"/>
      <c r="H10" s="332"/>
      <c r="I10" s="332"/>
    </row>
    <row r="11" spans="1:10">
      <c r="A11" s="331">
        <v>5</v>
      </c>
      <c r="B11" s="331" t="s">
        <v>399</v>
      </c>
      <c r="C11" s="332">
        <f>'7.Balance Sheet'!B24</f>
        <v>548481.19787088712</v>
      </c>
      <c r="D11" s="332">
        <f>'7.Balance Sheet'!C24-'7.Balance Sheet'!B24</f>
        <v>284450.63875039783</v>
      </c>
      <c r="E11" s="332">
        <f>'7.Balance Sheet'!D24-'7.Balance Sheet'!C24</f>
        <v>108929.0486404947</v>
      </c>
      <c r="F11" s="332">
        <f>'7.Balance Sheet'!E24-'7.Balance Sheet'!D24</f>
        <v>117739.62391299149</v>
      </c>
      <c r="G11" s="332">
        <f>'7.Balance Sheet'!F24-'7.Balance Sheet'!E24</f>
        <v>127158.93409113586</v>
      </c>
      <c r="H11" s="332">
        <f>'7.Balance Sheet'!G24-'7.Balance Sheet'!F24</f>
        <v>137225.82622731291</v>
      </c>
      <c r="I11" s="332">
        <f>'7.Balance Sheet'!H24-'7.Balance Sheet'!G24</f>
        <v>147981.51024187868</v>
      </c>
    </row>
    <row r="12" spans="1:10">
      <c r="A12" s="331">
        <v>6</v>
      </c>
      <c r="B12" s="331" t="s">
        <v>732</v>
      </c>
      <c r="C12" s="332">
        <f>'7.Balance Sheet'!B25</f>
        <v>2008770.8837558005</v>
      </c>
      <c r="D12" s="332">
        <f>'7.Balance Sheet'!C25-'7.Balance Sheet'!B25</f>
        <v>296255.48111306108</v>
      </c>
      <c r="E12" s="332">
        <f>'7.Balance Sheet'!D25-'7.Balance Sheet'!C25</f>
        <v>301561.47309071338</v>
      </c>
      <c r="F12" s="332">
        <f>'7.Balance Sheet'!E25-'7.Balance Sheet'!D25</f>
        <v>325955.05448761117</v>
      </c>
      <c r="G12" s="332">
        <f>'7.Balance Sheet'!F25-'7.Balance Sheet'!E25</f>
        <v>352034.09034147579</v>
      </c>
      <c r="H12" s="332">
        <f>'7.Balance Sheet'!G25-'7.Balance Sheet'!F25</f>
        <v>379906.14214450307</v>
      </c>
      <c r="I12" s="332">
        <f>'7.Balance Sheet'!H25-'7.Balance Sheet'!G25</f>
        <v>409685.31390198367</v>
      </c>
    </row>
    <row r="13" spans="1:10">
      <c r="A13" s="331"/>
      <c r="B13" s="331" t="s">
        <v>400</v>
      </c>
      <c r="C13" s="334">
        <f>SUM(C6:C12)</f>
        <v>80599333.529039651</v>
      </c>
      <c r="D13" s="334">
        <f t="shared" ref="D13:I13" si="0">SUM(D6:D12)</f>
        <v>66889882.618520871</v>
      </c>
      <c r="E13" s="334">
        <f t="shared" si="0"/>
        <v>75394572.856970996</v>
      </c>
      <c r="F13" s="334">
        <f t="shared" si="0"/>
        <v>84804400.492634356</v>
      </c>
      <c r="G13" s="334">
        <f t="shared" si="0"/>
        <v>94966724.459721655</v>
      </c>
      <c r="H13" s="334">
        <f t="shared" si="0"/>
        <v>105933269.82228607</v>
      </c>
      <c r="I13" s="334">
        <f t="shared" si="0"/>
        <v>117759052.90995763</v>
      </c>
    </row>
    <row r="14" spans="1:10">
      <c r="A14" s="443" t="s">
        <v>401</v>
      </c>
      <c r="B14" s="443"/>
      <c r="C14" s="140"/>
      <c r="D14" s="140"/>
      <c r="E14" s="140"/>
      <c r="F14" s="140"/>
      <c r="G14" s="140"/>
      <c r="H14" s="140"/>
      <c r="I14" s="140"/>
    </row>
    <row r="15" spans="1:10">
      <c r="A15" s="331">
        <v>1</v>
      </c>
      <c r="B15" s="331" t="s">
        <v>402</v>
      </c>
      <c r="C15" s="140"/>
      <c r="D15" s="140"/>
      <c r="E15" s="140"/>
      <c r="F15" s="140"/>
      <c r="G15" s="140"/>
      <c r="H15" s="140"/>
      <c r="I15" s="140"/>
    </row>
    <row r="16" spans="1:10">
      <c r="A16" s="335" t="s">
        <v>403</v>
      </c>
      <c r="B16" s="140" t="str">
        <f>'[1]Total Cost of Project'!C3</f>
        <v>Land and Building</v>
      </c>
      <c r="C16" s="336">
        <f>'1.Project Cost and MOF'!D5</f>
        <v>5827500</v>
      </c>
      <c r="D16" s="336"/>
      <c r="E16" s="336"/>
      <c r="F16" s="336"/>
      <c r="G16" s="336"/>
      <c r="H16" s="336"/>
      <c r="I16" s="336"/>
    </row>
    <row r="17" spans="1:9">
      <c r="A17" s="335" t="s">
        <v>404</v>
      </c>
      <c r="B17" s="140" t="str">
        <f>'[1]Total Cost of Project'!C4</f>
        <v>Machinery and Equipment</v>
      </c>
      <c r="C17" s="336">
        <f>'1.Project Cost and MOF'!D6</f>
        <v>11624000</v>
      </c>
      <c r="D17" s="336"/>
      <c r="E17" s="336"/>
      <c r="F17" s="336"/>
      <c r="G17" s="336"/>
      <c r="H17" s="336"/>
      <c r="I17" s="336"/>
    </row>
    <row r="18" spans="1:9">
      <c r="A18" s="335" t="s">
        <v>405</v>
      </c>
      <c r="B18" s="140" t="s">
        <v>406</v>
      </c>
      <c r="C18" s="336">
        <f>'1.Project Cost and MOF'!D7</f>
        <v>1050000</v>
      </c>
      <c r="D18" s="336"/>
      <c r="E18" s="336"/>
      <c r="F18" s="336"/>
      <c r="G18" s="336"/>
      <c r="H18" s="336"/>
      <c r="I18" s="336"/>
    </row>
    <row r="19" spans="1:9">
      <c r="A19" s="335" t="s">
        <v>407</v>
      </c>
      <c r="B19" s="140" t="s">
        <v>408</v>
      </c>
      <c r="C19" s="336">
        <f>'1.Project Cost and MOF'!D8</f>
        <v>625000</v>
      </c>
      <c r="D19" s="336"/>
      <c r="E19" s="336"/>
      <c r="F19" s="336"/>
      <c r="G19" s="336"/>
      <c r="H19" s="336"/>
      <c r="I19" s="336"/>
    </row>
    <row r="20" spans="1:9">
      <c r="A20" s="335" t="s">
        <v>409</v>
      </c>
      <c r="B20" s="140" t="s">
        <v>190</v>
      </c>
      <c r="C20" s="336">
        <f>'1.Project Cost and MOF'!D9</f>
        <v>0</v>
      </c>
      <c r="D20" s="332"/>
      <c r="E20" s="332"/>
      <c r="F20" s="332"/>
      <c r="G20" s="332"/>
      <c r="H20" s="332"/>
      <c r="I20" s="332"/>
    </row>
    <row r="21" spans="1:9">
      <c r="A21" s="335" t="s">
        <v>410</v>
      </c>
      <c r="B21" s="140" t="s">
        <v>411</v>
      </c>
      <c r="C21" s="336">
        <f>'1.Project Cost and MOF'!D10</f>
        <v>923000</v>
      </c>
      <c r="D21" s="332"/>
      <c r="E21" s="332"/>
      <c r="F21" s="332"/>
      <c r="G21" s="332"/>
      <c r="H21" s="332"/>
      <c r="I21" s="332"/>
    </row>
    <row r="22" spans="1:9">
      <c r="A22" s="331">
        <v>2</v>
      </c>
      <c r="B22" s="331" t="s">
        <v>412</v>
      </c>
      <c r="C22" s="140"/>
      <c r="D22" s="140"/>
      <c r="E22" s="140"/>
      <c r="F22" s="140"/>
      <c r="G22" s="140"/>
      <c r="H22" s="140"/>
      <c r="I22" s="140"/>
    </row>
    <row r="23" spans="1:9">
      <c r="A23" s="335" t="s">
        <v>403</v>
      </c>
      <c r="B23" s="140" t="s">
        <v>345</v>
      </c>
      <c r="C23" s="337">
        <f>'6.Cons Profit &amp; Loss'!B25</f>
        <v>52371526.612204805</v>
      </c>
      <c r="D23" s="337">
        <f>'6.Cons Profit &amp; Loss'!C25</f>
        <v>60095330.226938181</v>
      </c>
      <c r="E23" s="337">
        <f>'6.Cons Profit &amp; Loss'!D25</f>
        <v>67957468.632517487</v>
      </c>
      <c r="F23" s="337">
        <f>'6.Cons Profit &amp; Loss'!E25</f>
        <v>76455582.553087354</v>
      </c>
      <c r="G23" s="337">
        <f>'6.Cons Profit &amp; Loss'!F25</f>
        <v>85633614.194132969</v>
      </c>
      <c r="H23" s="337">
        <f>'6.Cons Profit &amp; Loss'!G25</f>
        <v>95538310.042900383</v>
      </c>
      <c r="I23" s="337">
        <f>'6.Cons Profit &amp; Loss'!H25</f>
        <v>106219391.44105925</v>
      </c>
    </row>
    <row r="24" spans="1:9">
      <c r="A24" s="335" t="s">
        <v>404</v>
      </c>
      <c r="B24" s="140" t="s">
        <v>347</v>
      </c>
      <c r="C24" s="332">
        <f>'6.Cons Profit &amp; Loss'!B36</f>
        <v>1838384.6905</v>
      </c>
      <c r="D24" s="332">
        <f>'6.Cons Profit &amp; Loss'!C36</f>
        <v>1910404.3810000001</v>
      </c>
      <c r="E24" s="332">
        <f>'6.Cons Profit &amp; Loss'!D36</f>
        <v>1986569.0715000001</v>
      </c>
      <c r="F24" s="332">
        <f>'6.Cons Profit &amp; Loss'!E36</f>
        <v>2067086.0120000006</v>
      </c>
      <c r="G24" s="332">
        <f>'6.Cons Profit &amp; Loss'!F36</f>
        <v>2152172.8150000004</v>
      </c>
      <c r="H24" s="332">
        <f>'6.Cons Profit &amp; Loss'!G36</f>
        <v>2242057.9736250006</v>
      </c>
      <c r="I24" s="332">
        <f>'6.Cons Profit &amp; Loss'!H36</f>
        <v>2336981.4056562502</v>
      </c>
    </row>
    <row r="25" spans="1:9">
      <c r="A25" s="338">
        <v>3</v>
      </c>
      <c r="B25" s="331" t="s">
        <v>413</v>
      </c>
      <c r="C25" s="332"/>
      <c r="D25" s="332"/>
      <c r="E25" s="332"/>
      <c r="F25" s="332"/>
      <c r="G25" s="332"/>
      <c r="H25" s="332"/>
      <c r="I25" s="332"/>
    </row>
    <row r="26" spans="1:9">
      <c r="A26" s="335"/>
      <c r="B26" s="140" t="s">
        <v>414</v>
      </c>
      <c r="C26" s="332">
        <f>SUM('4.TL repayment sch'!E10:E21)</f>
        <v>675704.34436562879</v>
      </c>
      <c r="D26" s="332">
        <f>SUM('4.TL repayment sch'!E22:E33)</f>
        <v>1445776.9714773113</v>
      </c>
      <c r="E26" s="332">
        <f>SUM('4.TL repayment sch'!E34:E45)</f>
        <v>1581400.8238957471</v>
      </c>
      <c r="F26" s="332">
        <f>SUM('4.TL repayment sch'!E46:E57)</f>
        <v>1729747.1291597434</v>
      </c>
      <c r="G26" s="332">
        <f>SUM('4.TL repayment sch'!E58:E69)</f>
        <v>1892009.3411015091</v>
      </c>
      <c r="H26" s="332">
        <f>SUM('4.TL repayment sch'!E70:E81)</f>
        <v>-297924.9976555662</v>
      </c>
      <c r="I26" s="332">
        <f>SUM('4.TL repayment sch'!E82:E93)</f>
        <v>-325872.41742426978</v>
      </c>
    </row>
    <row r="27" spans="1:9">
      <c r="A27" s="335"/>
      <c r="B27" s="140" t="s">
        <v>415</v>
      </c>
      <c r="C27" s="332">
        <f>SUM('4.TL repayment sch'!D10:D21)</f>
        <v>932492.98108610103</v>
      </c>
      <c r="D27" s="332">
        <f>SUM('4.TL repayment sch'!D22:D33)</f>
        <v>825565.68217529904</v>
      </c>
      <c r="E27" s="332">
        <f>SUM('4.TL repayment sch'!D34:D45)</f>
        <v>689941.82975686307</v>
      </c>
      <c r="F27" s="332">
        <f>SUM('4.TL repayment sch'!D46:D57)</f>
        <v>541595.52449286636</v>
      </c>
      <c r="G27" s="332">
        <f>SUM('4.TL repayment sch'!D58:D69)</f>
        <v>379333.31255110161</v>
      </c>
      <c r="H27" s="332">
        <f>SUM('4.TL repayment sch'!D70:D81)</f>
        <v>297924.9976555662</v>
      </c>
      <c r="I27" s="332">
        <f>SUM('4.TL repayment sch'!D82:D93)</f>
        <v>325872.41742426978</v>
      </c>
    </row>
    <row r="28" spans="1:9">
      <c r="A28" s="335"/>
      <c r="B28" s="140" t="s">
        <v>416</v>
      </c>
      <c r="C28" s="332"/>
      <c r="D28" s="332"/>
      <c r="E28" s="332"/>
      <c r="F28" s="332"/>
      <c r="G28" s="332"/>
      <c r="H28" s="332"/>
      <c r="I28" s="332"/>
    </row>
    <row r="29" spans="1:9">
      <c r="A29" s="335"/>
      <c r="B29" s="140" t="s">
        <v>417</v>
      </c>
      <c r="C29" s="339">
        <f>'7.Balance Sheet'!B24*0.12</f>
        <v>65817.743744506457</v>
      </c>
      <c r="D29" s="339">
        <f>'7.Balance Sheet'!C24*0.12</f>
        <v>99951.82039455419</v>
      </c>
      <c r="E29" s="339">
        <f>'7.Balance Sheet'!D24*0.12</f>
        <v>113023.30623141356</v>
      </c>
      <c r="F29" s="339">
        <f>'7.Balance Sheet'!E24*0.12</f>
        <v>127152.06110097253</v>
      </c>
      <c r="G29" s="339">
        <f>'7.Balance Sheet'!F24*0.12</f>
        <v>142411.13319190883</v>
      </c>
      <c r="H29" s="339">
        <f>'7.Balance Sheet'!G24*0.12</f>
        <v>158878.23233918639</v>
      </c>
      <c r="I29" s="339">
        <f>'7.Balance Sheet'!H24*0.12</f>
        <v>176636.01356821181</v>
      </c>
    </row>
    <row r="30" spans="1:9">
      <c r="A30" s="331">
        <v>4</v>
      </c>
      <c r="B30" s="331" t="s">
        <v>418</v>
      </c>
      <c r="C30" s="332">
        <f>'6.Cons Profit &amp; Loss'!B50</f>
        <v>0</v>
      </c>
      <c r="D30" s="332">
        <f>'6.Cons Profit &amp; Loss'!C50</f>
        <v>244995.24091883923</v>
      </c>
      <c r="E30" s="332">
        <f>'6.Cons Profit &amp; Loss'!D50</f>
        <v>557869.25876084808</v>
      </c>
      <c r="F30" s="332">
        <f>'6.Cons Profit &amp; Loss'!E50</f>
        <v>873218.20652366639</v>
      </c>
      <c r="G30" s="332">
        <f>'6.Cons Profit &amp; Loss'!F50</f>
        <v>1196415.2480573966</v>
      </c>
      <c r="H30" s="332">
        <f>'6.Cons Profit &amp; Loss'!G50</f>
        <v>1554740.8570249714</v>
      </c>
      <c r="I30" s="332">
        <f>'6.Cons Profit &amp; Loss'!H50</f>
        <v>1848013.5348771291</v>
      </c>
    </row>
    <row r="31" spans="1:9">
      <c r="A31" s="331">
        <v>5</v>
      </c>
      <c r="B31" s="331" t="s">
        <v>733</v>
      </c>
      <c r="C31" s="332">
        <f>'7.Balance Sheet'!B10+'7.Balance Sheet'!B9</f>
        <v>2740079.14758365</v>
      </c>
      <c r="D31" s="332">
        <f>'7.Balance Sheet'!C9+'7.Balance Sheet'!C10-'7.Balance Sheet'!B9-'7.Balance Sheet'!B10</f>
        <v>397879.05390649667</v>
      </c>
      <c r="E31" s="332">
        <f>'7.Balance Sheet'!D9+'7.Balance Sheet'!D10-'7.Balance Sheet'!C9-'7.Balance Sheet'!C10</f>
        <v>410490.52173120808</v>
      </c>
      <c r="F31" s="332">
        <f>'7.Balance Sheet'!E9+'7.Balance Sheet'!E10-'7.Balance Sheet'!D9-'7.Balance Sheet'!D10</f>
        <v>443694.67840060254</v>
      </c>
      <c r="G31" s="332">
        <f>'7.Balance Sheet'!F9+'7.Balance Sheet'!F10-'7.Balance Sheet'!E9-'7.Balance Sheet'!E10</f>
        <v>479193.02443261154</v>
      </c>
      <c r="H31" s="332">
        <f>'7.Balance Sheet'!G9+'7.Balance Sheet'!G10-'7.Balance Sheet'!F9-'7.Balance Sheet'!F10</f>
        <v>517131.96837181633</v>
      </c>
      <c r="I31" s="332">
        <f>'7.Balance Sheet'!H9+'7.Balance Sheet'!H10-'7.Balance Sheet'!G9-'7.Balance Sheet'!G10</f>
        <v>557666.82414386189</v>
      </c>
    </row>
    <row r="32" spans="1:9">
      <c r="A32" s="331"/>
      <c r="B32" s="331" t="s">
        <v>419</v>
      </c>
      <c r="C32" s="340">
        <f>SUM(C16:C31)</f>
        <v>78673505.519484699</v>
      </c>
      <c r="D32" s="340">
        <f t="shared" ref="D32:I32" si="1">SUM(D16:D31)</f>
        <v>65019903.376810685</v>
      </c>
      <c r="E32" s="340">
        <f t="shared" si="1"/>
        <v>73296763.444393575</v>
      </c>
      <c r="F32" s="340">
        <f t="shared" si="1"/>
        <v>82238076.164765209</v>
      </c>
      <c r="G32" s="340">
        <f t="shared" si="1"/>
        <v>91875149.068467498</v>
      </c>
      <c r="H32" s="340">
        <f t="shared" si="1"/>
        <v>100011119.07426137</v>
      </c>
      <c r="I32" s="340">
        <f t="shared" si="1"/>
        <v>111138689.2193047</v>
      </c>
    </row>
    <row r="33" spans="1:10">
      <c r="A33" s="331"/>
      <c r="B33" s="331" t="s">
        <v>420</v>
      </c>
      <c r="C33" s="340">
        <f t="shared" ref="C33:I33" si="2">C13-C32</f>
        <v>1925828.0095549524</v>
      </c>
      <c r="D33" s="340">
        <f t="shared" si="2"/>
        <v>1869979.241710186</v>
      </c>
      <c r="E33" s="340">
        <f t="shared" si="2"/>
        <v>2097809.4125774205</v>
      </c>
      <c r="F33" s="340">
        <f t="shared" si="2"/>
        <v>2566324.3278691471</v>
      </c>
      <c r="G33" s="340">
        <f t="shared" si="2"/>
        <v>3091575.3912541568</v>
      </c>
      <c r="H33" s="340">
        <f t="shared" si="2"/>
        <v>5922150.7480247021</v>
      </c>
      <c r="I33" s="340">
        <f t="shared" si="2"/>
        <v>6620363.6906529367</v>
      </c>
    </row>
    <row r="34" spans="1:10">
      <c r="A34" s="338"/>
      <c r="B34" s="140" t="s">
        <v>421</v>
      </c>
      <c r="C34" s="140"/>
      <c r="D34" s="341">
        <f t="shared" ref="D34:I34" si="3">C35</f>
        <v>1925828.0095549524</v>
      </c>
      <c r="E34" s="341">
        <f t="shared" si="3"/>
        <v>3795807.2512651384</v>
      </c>
      <c r="F34" s="341">
        <f t="shared" si="3"/>
        <v>5893616.6638425589</v>
      </c>
      <c r="G34" s="341">
        <f t="shared" si="3"/>
        <v>8459940.9917117059</v>
      </c>
      <c r="H34" s="341">
        <f t="shared" si="3"/>
        <v>11551516.382965863</v>
      </c>
      <c r="I34" s="341">
        <f t="shared" si="3"/>
        <v>17473667.130990565</v>
      </c>
    </row>
    <row r="35" spans="1:10">
      <c r="A35" s="331"/>
      <c r="B35" s="342" t="s">
        <v>422</v>
      </c>
      <c r="C35" s="340">
        <f t="shared" ref="C35:I35" si="4">C33+C34</f>
        <v>1925828.0095549524</v>
      </c>
      <c r="D35" s="340">
        <f t="shared" si="4"/>
        <v>3795807.2512651384</v>
      </c>
      <c r="E35" s="340">
        <f t="shared" si="4"/>
        <v>5893616.6638425589</v>
      </c>
      <c r="F35" s="340">
        <f t="shared" si="4"/>
        <v>8459940.9917117059</v>
      </c>
      <c r="G35" s="340">
        <f t="shared" si="4"/>
        <v>11551516.382965863</v>
      </c>
      <c r="H35" s="340">
        <f t="shared" si="4"/>
        <v>17473667.130990565</v>
      </c>
      <c r="I35" s="340">
        <f t="shared" si="4"/>
        <v>24094030.821643502</v>
      </c>
    </row>
    <row r="37" spans="1:10" ht="39.950000000000003" customHeight="1">
      <c r="A37" s="444" t="s">
        <v>423</v>
      </c>
      <c r="B37" s="444"/>
      <c r="C37" s="444"/>
      <c r="D37" s="444"/>
      <c r="E37" s="444"/>
      <c r="F37" s="444"/>
      <c r="G37" s="444"/>
      <c r="H37" s="444"/>
      <c r="I37" s="444"/>
      <c r="J37" s="444"/>
    </row>
    <row r="39" spans="1:10">
      <c r="C39" s="240"/>
    </row>
    <row r="40" spans="1:10">
      <c r="C40" s="240"/>
    </row>
    <row r="41" spans="1:10">
      <c r="C41" s="240"/>
    </row>
    <row r="42" spans="1:10">
      <c r="C42" s="240"/>
    </row>
    <row r="43" spans="1:10">
      <c r="C43" s="240"/>
    </row>
  </sheetData>
  <mergeCells count="4">
    <mergeCell ref="A1:G1"/>
    <mergeCell ref="A2:I2"/>
    <mergeCell ref="A14:B14"/>
    <mergeCell ref="A37:J37"/>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2022-01-31T04:29:18Z</cp:lastPrinted>
  <dcterms:created xsi:type="dcterms:W3CDTF">2006-09-16T00:00:00Z</dcterms:created>
  <dcterms:modified xsi:type="dcterms:W3CDTF">2023-01-20T13:06:53Z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7B02DF163A9C44339AD5373E94A3535A</vt:lpwstr>
  </property>
  <property fmtid="{D5CDD505-2E9C-101B-9397-08002B2CF9AE}" pid="3" name="KSOProductBuildVer">
    <vt:lpwstr>2057-11.2.0.10463</vt:lpwstr>
  </property>
</Properties>
</file>